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Workbook________" defaultThemeVersion="166925"/>
  <mc:AlternateContent xmlns:mc="http://schemas.openxmlformats.org/markup-compatibility/2006">
    <mc:Choice Requires="x15">
      <x15ac:absPath xmlns:x15ac="http://schemas.microsoft.com/office/spreadsheetml/2010/11/ac" url="https://gnsplc-my.sharepoint.com/personal/anton_roschupkin_genusplc_com/Documents/Documents/Мои документы PIC/Кормление/Инструменты/Калькуляторы 2021/"/>
    </mc:Choice>
  </mc:AlternateContent>
  <xr:revisionPtr revIDLastSave="316" documentId="13_ncr:1_{225CA429-55B4-468F-90D3-0C238AEDFE6C}" xr6:coauthVersionLast="47" xr6:coauthVersionMax="47" xr10:uidLastSave="{326C912D-F518-4B08-B22E-29B68F9E2323}"/>
  <workbookProtection workbookAlgorithmName="SHA-512" workbookHashValue="rMLXibCrDZjnngB2EpZbC8jrqqBgO4JxT06s191BSZ3lYzAlp0IWIRL2MZuxdxGpUU5XwafYu7kuvxduBRnUcQ==" workbookSaltValue="RKqgDI/stitCkLWwSImp8A==" workbookSpinCount="100000" lockStructure="1"/>
  <bookViews>
    <workbookView xWindow="-120" yWindow="-120" windowWidth="20730" windowHeight="11760" tabRatio="693" firstSheet="3" activeTab="3" xr2:uid="{4B15C7FF-D19A-446D-BB89-37C5DD26D89F}"/>
  </bookViews>
  <sheets>
    <sheet name="Nursery" sheetId="33" state="hidden" r:id="rId1"/>
    <sheet name="337-Adj" sheetId="34" state="hidden" r:id="rId2"/>
    <sheet name="337" sheetId="13" state="hidden" r:id="rId3"/>
    <sheet name="Инструкция" sheetId="31" r:id="rId4"/>
    <sheet name="Кормовой бюджет" sheetId="26" r:id="rId5"/>
    <sheet name="Graphs" sheetId="41" state="hidden" r:id="rId6"/>
    <sheet name="Table Mixed Gender" sheetId="46" state="hidden" r:id="rId7"/>
    <sheet name="Table Barrows" sheetId="47" state="hidden" r:id="rId8"/>
    <sheet name="Table Gilts" sheetId="48" state="hidden" r:id="rId9"/>
    <sheet name="Table" sheetId="42" state="hidden" r:id="rId10"/>
    <sheet name="Curve-Mixed" sheetId="8" state="hidden" r:id="rId11"/>
    <sheet name="Curve-Gilts" sheetId="25" state="hidden" r:id="rId12"/>
    <sheet name="Curve-Barrows" sheetId="17" state="hidden" r:id="rId13"/>
    <sheet name="I-Mixed" sheetId="4" state="hidden" r:id="rId14"/>
    <sheet name="I-Barrows" sheetId="14" state="hidden" r:id="rId15"/>
    <sheet name="I-Gilts" sheetId="22" state="hidden" r:id="rId16"/>
    <sheet name="Adj-Mixed" sheetId="7" state="hidden" r:id="rId17"/>
    <sheet name="Adj-Barrows" sheetId="15" state="hidden" r:id="rId18"/>
    <sheet name="Adj-Gilts" sheetId="23" state="hidden" r:id="rId19"/>
    <sheet name="E-Mixed" sheetId="2" state="hidden" r:id="rId20"/>
    <sheet name="E-Barrows" sheetId="16" state="hidden" r:id="rId21"/>
    <sheet name="E-Gilts" sheetId="24" state="hidden" r:id="rId22"/>
    <sheet name="Weight" sheetId="28" state="hidden" r:id="rId23"/>
    <sheet name="ADFI" sheetId="29" state="hidden" r:id="rId24"/>
    <sheet name="ADG" sheetId="27" state="hidden" r:id="rId25"/>
    <sheet name="FG" sheetId="37" state="hidden" r:id="rId26"/>
  </sheets>
  <definedNames>
    <definedName name="BarrowsADFI">OFFSET('E-Barrows'!$M$4,,,COUNT('E-Barrows'!$M$4:$M$185),)</definedName>
    <definedName name="BarrowsADFI2">OFFSET('Curve-Barrows'!$M$4,,,COUNT('Curve-Barrows'!$M$4:$M$185),)</definedName>
    <definedName name="BarrowsADFI2lb">OFFSET('Curve-Barrows'!$Q$4,,,COUNT('Curve-Barrows'!$Q$4:$Q$185),)</definedName>
    <definedName name="BarrowsADG">OFFSET('E-Barrows'!$J$4,,,COUNT('E-Barrows'!$J$4:$J$185),)</definedName>
    <definedName name="BarrowsADG2">OFFSET('Curve-Barrows'!$J$4,,,COUNT('Curve-Barrows'!$J$4:$J$185),)</definedName>
    <definedName name="BarrowsADG2lb">OFFSET('Curve-Barrows'!$P$4,,,COUNT('Curve-Barrows'!$P$4:$P$185),)</definedName>
    <definedName name="BarrowsAge">OFFSET('E-Barrows'!$A$3,,,COUNT('E-Barrows'!$A$3:$A$185),)</definedName>
    <definedName name="BarrowsAge2">OFFSET('Curve-Barrows'!$I$3,,,COUNT('Curve-Barrows'!$I$3:$I$185),)</definedName>
    <definedName name="BarrowsBW">OFFSET('E-Barrows'!$I$3,,,COUNT('E-Barrows'!$I$3:$I$185),)</definedName>
    <definedName name="BarrowsBW2">OFFSET('Curve-Barrows'!$H$3,,,COUNT('Curve-Barrows'!$H$3:$H$185),)</definedName>
    <definedName name="BarrowsBW2lb">OFFSET('Curve-Barrows'!$R$3,,,COUNT('Curve-Barrows'!$R$3:$R$185),)</definedName>
    <definedName name="BarrowsFG">OFFSET('E-Barrows'!$L$4,,,COUNT('E-Barrows'!$L$4:$L$185),)</definedName>
    <definedName name="BarrowsFG2">OFFSET('Curve-Barrows'!$N$4,,,COUNT('Curve-Barrows'!$N$4:$N$185),)</definedName>
    <definedName name="GiltsADFI">OFFSET('E-Gilts'!$M$4,,,COUNT('E-Gilts'!$M$4:$M$185),)</definedName>
    <definedName name="GiltsADFI2">OFFSET('Curve-Gilts'!$M$4,,,COUNT('Curve-Gilts'!$M$4:$M$185),)</definedName>
    <definedName name="GiltsADFI2lb">OFFSET('Curve-Gilts'!$Q$4,,,COUNT('Curve-Gilts'!$Q$4:$Q$185),)</definedName>
    <definedName name="GiltsADG">OFFSET('E-Gilts'!$J$4,,,COUNT('E-Gilts'!$J$4:$J$185),)</definedName>
    <definedName name="GiltsADG2">OFFSET('Curve-Gilts'!$J$4,,,COUNT('Curve-Gilts'!$J$4:$J$185),)</definedName>
    <definedName name="GiltsADG2lb">OFFSET('Curve-Gilts'!$P$4,,,COUNT('Curve-Gilts'!$P$4:$P$185),)</definedName>
    <definedName name="GiltsAge">OFFSET('E-Gilts'!$A$3,,,COUNT('E-Gilts'!$A$3:$A$185),)</definedName>
    <definedName name="GiltsAge2">OFFSET('Curve-Gilts'!$I$3,,,COUNT('Curve-Gilts'!$I$3:$I$185),)</definedName>
    <definedName name="GiltsBW">OFFSET('E-Gilts'!$I$3,,,COUNT('E-Gilts'!$I$3:$I$185),)</definedName>
    <definedName name="GiltsBW2">OFFSET('Curve-Gilts'!$H$3,,,COUNT('Curve-Gilts'!$H$3:$H$185),)</definedName>
    <definedName name="GiltsBW2lb">OFFSET('Curve-Gilts'!$R$3,,,COUNT('Curve-Gilts'!$R$3:$R$185),)</definedName>
    <definedName name="GiltsFG">OFFSET('E-Gilts'!$L$4,,,COUNT('E-Gilts'!$L$4:$L$185),)</definedName>
    <definedName name="GiltsFG2">OFFSET('Curve-Gilts'!$N$4,,,COUNT('Curve-Gilts'!$N$4:$N$185),)</definedName>
    <definedName name="MixedADFI">OFFSET('E-Mixed'!$M$4,,,COUNT('E-Mixed'!$M$4:$M$185),)</definedName>
    <definedName name="MixedADFI2">OFFSET('Curve-Mixed'!$M$4,,,COUNT('Curve-Mixed'!$M$4:$M$185),)</definedName>
    <definedName name="MixedADFI2lb">OFFSET('Curve-Mixed'!$Q$4,,,COUNT('Curve-Mixed'!$Q$4:$Q$185),)</definedName>
    <definedName name="MixedADG">OFFSET('E-Mixed'!$J$4,,,COUNT('E-Mixed'!$J$4:$J$185),)</definedName>
    <definedName name="MixedADG2">OFFSET('Curve-Mixed'!$J$4,,,COUNT('Curve-Mixed'!$J$4:$J$185),)</definedName>
    <definedName name="MixedADG2lb">OFFSET('Curve-Mixed'!$P$4,,,COUNT('Curve-Mixed'!$P$4:$P$185),)</definedName>
    <definedName name="MixedAge">OFFSET('E-Mixed'!$A$3,,,COUNT('E-Mixed'!$A$3:$A$185),)</definedName>
    <definedName name="MixedAge2">OFFSET('Curve-Mixed'!$I$3,,,COUNT('Curve-Mixed'!$I$3:$I$185),)</definedName>
    <definedName name="MixedBW">OFFSET('E-Mixed'!$I$3,,,COUNT('E-Mixed'!$I$3:$I$185),)</definedName>
    <definedName name="MixedBW2">OFFSET('Curve-Mixed'!$H$3,,,COUNT('Curve-Mixed'!$H$3:$H$185),)</definedName>
    <definedName name="MixedBW2lb">OFFSET('Curve-Mixed'!$R$3,,,COUNT('Curve-Mixed'!$R$3:$R$185),)</definedName>
    <definedName name="MixedFG">OFFSET('E-Mixed'!$L$4,,,COUNT('E-Mixed'!$L$4:$L$185),)</definedName>
    <definedName name="MixedFG2">OFFSET('Curve-Mixed'!$N$4,,,COUNT('Curve-Mixed'!$N$4:$N$185),)</definedName>
    <definedName name="solver_adj" localSheetId="3" hidden="1">Инструкция!#REF!</definedName>
    <definedName name="solver_cvg" localSheetId="3" hidden="1">0.0001</definedName>
    <definedName name="solver_drv" localSheetId="3" hidden="1">1</definedName>
    <definedName name="solver_est" localSheetId="3" hidden="1">1</definedName>
    <definedName name="solver_itr" localSheetId="3" hidden="1">100</definedName>
    <definedName name="solver_lhs1" localSheetId="3" hidden="1">Инструкция!#REF!</definedName>
    <definedName name="solver_lhs2" localSheetId="3" hidden="1">Инструкция!#REF!</definedName>
    <definedName name="solver_lin" localSheetId="3" hidden="1">2</definedName>
    <definedName name="solver_neg" localSheetId="3" hidden="1">2</definedName>
    <definedName name="solver_num" localSheetId="3" hidden="1">2</definedName>
    <definedName name="solver_nwt" localSheetId="3" hidden="1">1</definedName>
    <definedName name="solver_opt" localSheetId="3" hidden="1">Инструкция!#REF!</definedName>
    <definedName name="solver_pre" localSheetId="3" hidden="1">0.000001</definedName>
    <definedName name="solver_rel1" localSheetId="3" hidden="1">2</definedName>
    <definedName name="solver_rel2" localSheetId="3" hidden="1">2</definedName>
    <definedName name="solver_rhs1" localSheetId="3" hidden="1">0</definedName>
    <definedName name="solver_rhs2" localSheetId="3" hidden="1">0</definedName>
    <definedName name="solver_scl" localSheetId="3" hidden="1">2</definedName>
    <definedName name="solver_sho" localSheetId="3" hidden="1">2</definedName>
    <definedName name="solver_tim" localSheetId="3" hidden="1">100</definedName>
    <definedName name="solver_tol" localSheetId="3" hidden="1">0.05</definedName>
    <definedName name="solver_typ" localSheetId="3" hidden="1">2</definedName>
    <definedName name="solver_val" localSheetId="3" hidden="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 i="46" l="1"/>
  <c r="B63" i="26"/>
  <c r="J19" i="22"/>
  <c r="J20" i="22"/>
  <c r="M3" i="48" l="1"/>
  <c r="L3" i="48"/>
  <c r="J3" i="48"/>
  <c r="I3" i="48"/>
  <c r="H3" i="48"/>
  <c r="G3" i="48"/>
  <c r="F3" i="48"/>
  <c r="F3" i="47"/>
  <c r="M3" i="47"/>
  <c r="L3" i="47"/>
  <c r="J3" i="47"/>
  <c r="I3" i="47"/>
  <c r="H3" i="47"/>
  <c r="G3" i="47"/>
  <c r="F3" i="46"/>
  <c r="M3" i="46"/>
  <c r="L3" i="46"/>
  <c r="I3" i="46"/>
  <c r="H3" i="46"/>
  <c r="G3" i="46"/>
  <c r="B8" i="26"/>
  <c r="B29" i="7"/>
  <c r="B30" i="7" s="1"/>
  <c r="G21" i="7" l="1"/>
  <c r="G19" i="7"/>
  <c r="G20" i="7" s="1"/>
  <c r="I20" i="7" s="1"/>
  <c r="I21" i="7"/>
  <c r="C14" i="7"/>
  <c r="D14" i="7"/>
  <c r="E14" i="7"/>
  <c r="F14" i="7"/>
  <c r="G14" i="7"/>
  <c r="H14" i="7"/>
  <c r="I14" i="7"/>
  <c r="B14" i="7"/>
  <c r="I19" i="7" l="1"/>
  <c r="C3" i="4"/>
  <c r="P20" i="26"/>
  <c r="B61" i="26"/>
  <c r="B62" i="26" l="1"/>
  <c r="B60" i="26"/>
  <c r="J6" i="34"/>
  <c r="J10" i="4" l="1"/>
  <c r="I10" i="4"/>
  <c r="H10" i="4"/>
  <c r="G10" i="4"/>
  <c r="F10" i="4"/>
  <c r="E10" i="4"/>
  <c r="D10" i="4"/>
  <c r="D9" i="4"/>
  <c r="E9" i="4"/>
  <c r="F9" i="4"/>
  <c r="G9" i="4"/>
  <c r="H9" i="4"/>
  <c r="I9" i="4"/>
  <c r="J9" i="4"/>
  <c r="C10" i="4"/>
  <c r="C9" i="4"/>
  <c r="C7" i="4"/>
  <c r="D7" i="4"/>
  <c r="E7" i="4"/>
  <c r="F7" i="4"/>
  <c r="G7" i="4"/>
  <c r="H7" i="4"/>
  <c r="I7" i="4"/>
  <c r="J7" i="4"/>
  <c r="B39" i="26"/>
  <c r="B38" i="26"/>
  <c r="B37" i="26"/>
  <c r="B44" i="26" l="1"/>
  <c r="B42" i="26"/>
  <c r="B43" i="26"/>
  <c r="B132" i="13"/>
  <c r="B105" i="13"/>
  <c r="T104" i="13"/>
  <c r="D29" i="22" l="1"/>
  <c r="I3" i="2"/>
  <c r="H50" i="34" l="1"/>
  <c r="H1" i="25" l="1"/>
  <c r="E2" i="25"/>
  <c r="L2" i="25" s="1"/>
  <c r="D2" i="25"/>
  <c r="K2" i="25" s="1"/>
  <c r="C2" i="25"/>
  <c r="J2" i="25" s="1"/>
  <c r="B2" i="25"/>
  <c r="I2" i="25" s="1"/>
  <c r="A2" i="25"/>
  <c r="H2" i="25"/>
  <c r="H1" i="8"/>
  <c r="E2" i="8"/>
  <c r="L2" i="8" s="1"/>
  <c r="D2" i="8"/>
  <c r="K2" i="8" s="1"/>
  <c r="C2" i="8"/>
  <c r="J2" i="8" s="1"/>
  <c r="B2" i="8"/>
  <c r="I2" i="8" s="1"/>
  <c r="A2" i="8"/>
  <c r="H2" i="8" s="1"/>
  <c r="B2" i="17"/>
  <c r="I2" i="17" s="1"/>
  <c r="C2" i="17"/>
  <c r="J2" i="17" s="1"/>
  <c r="D2" i="17"/>
  <c r="K2" i="17" s="1"/>
  <c r="E2" i="17"/>
  <c r="L2" i="17" s="1"/>
  <c r="A2" i="17"/>
  <c r="H2" i="17" s="1"/>
  <c r="I1" i="24"/>
  <c r="I1" i="2"/>
  <c r="I1" i="16"/>
  <c r="H1" i="17" s="1"/>
  <c r="N2" i="24"/>
  <c r="M2" i="24"/>
  <c r="L2" i="24"/>
  <c r="K2" i="24"/>
  <c r="J2" i="24"/>
  <c r="I2" i="24"/>
  <c r="N2" i="16"/>
  <c r="M2" i="16"/>
  <c r="L2" i="16"/>
  <c r="K2" i="16"/>
  <c r="J2" i="16"/>
  <c r="I2" i="16"/>
  <c r="K2" i="2"/>
  <c r="L2" i="2"/>
  <c r="M2" i="2"/>
  <c r="N2" i="2"/>
  <c r="J2" i="2"/>
  <c r="I2" i="2"/>
  <c r="D5" i="23"/>
  <c r="AA8" i="13" l="1"/>
  <c r="AA9" i="13"/>
  <c r="AA10" i="13"/>
  <c r="AA11" i="13"/>
  <c r="AA12" i="13"/>
  <c r="AA13" i="13"/>
  <c r="AA14" i="13"/>
  <c r="AA15" i="13"/>
  <c r="AA16" i="13"/>
  <c r="AA17" i="13"/>
  <c r="AA18" i="13"/>
  <c r="AA19" i="13"/>
  <c r="AA20" i="13"/>
  <c r="AA21" i="13"/>
  <c r="AA22" i="13"/>
  <c r="AA23" i="13"/>
  <c r="AA24" i="13"/>
  <c r="AA25" i="13"/>
  <c r="AA26" i="13"/>
  <c r="AA27" i="13"/>
  <c r="AA28" i="13"/>
  <c r="AA29" i="13"/>
  <c r="AA30" i="13"/>
  <c r="AA31" i="13"/>
  <c r="AA32" i="13"/>
  <c r="AA33" i="13"/>
  <c r="AA34" i="13"/>
  <c r="AA35" i="13"/>
  <c r="AA36" i="13"/>
  <c r="AA37" i="13"/>
  <c r="AA38" i="13"/>
  <c r="AA39" i="13"/>
  <c r="AA40" i="13"/>
  <c r="AA41" i="13"/>
  <c r="AA42" i="13"/>
  <c r="AA43" i="13"/>
  <c r="AA44" i="13"/>
  <c r="AA45" i="13"/>
  <c r="AA46" i="13"/>
  <c r="AA47" i="13"/>
  <c r="AA48" i="13"/>
  <c r="AA49" i="13"/>
  <c r="AA50" i="13"/>
  <c r="AA51" i="13"/>
  <c r="AA52" i="13"/>
  <c r="AA53" i="13"/>
  <c r="AA54" i="13"/>
  <c r="AA55" i="13"/>
  <c r="AA56" i="13"/>
  <c r="AA57" i="13"/>
  <c r="AA58" i="13"/>
  <c r="AA59" i="13"/>
  <c r="AA60" i="13"/>
  <c r="AA61" i="13"/>
  <c r="AA62" i="13"/>
  <c r="AA63" i="13"/>
  <c r="AA64" i="13"/>
  <c r="AA65" i="13"/>
  <c r="AA66" i="13"/>
  <c r="AA67" i="13"/>
  <c r="AA68" i="13"/>
  <c r="AA69" i="13"/>
  <c r="AA70" i="13"/>
  <c r="AA71" i="13"/>
  <c r="AA72" i="13"/>
  <c r="AA73" i="13"/>
  <c r="Z8" i="13"/>
  <c r="Z9" i="13"/>
  <c r="Z10" i="13"/>
  <c r="Z11" i="13"/>
  <c r="Z12" i="13"/>
  <c r="Z13" i="13"/>
  <c r="Z14" i="13"/>
  <c r="Z15" i="13"/>
  <c r="Z16" i="13"/>
  <c r="Z17" i="13"/>
  <c r="Z18" i="13"/>
  <c r="Z19" i="13"/>
  <c r="Z20" i="13"/>
  <c r="Z21" i="13"/>
  <c r="Z22" i="13"/>
  <c r="Z23" i="13"/>
  <c r="Z24" i="13"/>
  <c r="Z25" i="13"/>
  <c r="Z26" i="13"/>
  <c r="Z27" i="13"/>
  <c r="Z28" i="13"/>
  <c r="Z29" i="13"/>
  <c r="Z30" i="13"/>
  <c r="Z31" i="13"/>
  <c r="Z32" i="13"/>
  <c r="Z33" i="13"/>
  <c r="Z34" i="13"/>
  <c r="Z35" i="13"/>
  <c r="Z36" i="13"/>
  <c r="Z37" i="13"/>
  <c r="Z38" i="13"/>
  <c r="Z39" i="13"/>
  <c r="Z40" i="13"/>
  <c r="Z41" i="13"/>
  <c r="Z42" i="13"/>
  <c r="Z43" i="13"/>
  <c r="Z44" i="13"/>
  <c r="Z45" i="13"/>
  <c r="Z46" i="13"/>
  <c r="Z47" i="13"/>
  <c r="Z48" i="13"/>
  <c r="Z49" i="13"/>
  <c r="Z50" i="13"/>
  <c r="Z51" i="13"/>
  <c r="Z52" i="13"/>
  <c r="Z53" i="13"/>
  <c r="Z54" i="13"/>
  <c r="Z55" i="13"/>
  <c r="Z56" i="13"/>
  <c r="Z57" i="13"/>
  <c r="Z58" i="13"/>
  <c r="Z59" i="13"/>
  <c r="Z60" i="13"/>
  <c r="Z61" i="13"/>
  <c r="Z62" i="13"/>
  <c r="Z63" i="13"/>
  <c r="Z64" i="13"/>
  <c r="Z65" i="13"/>
  <c r="Z66" i="13"/>
  <c r="Z67" i="13"/>
  <c r="Z68" i="13"/>
  <c r="Z69" i="13"/>
  <c r="Z70" i="13"/>
  <c r="Z71" i="13"/>
  <c r="Z72" i="13"/>
  <c r="Z73" i="13"/>
  <c r="AA7" i="13"/>
  <c r="Z7" i="13"/>
  <c r="I48" i="13"/>
  <c r="I49" i="13"/>
  <c r="I50" i="34" s="1"/>
  <c r="I50" i="13"/>
  <c r="I51" i="13"/>
  <c r="I52" i="13"/>
  <c r="I53" i="13"/>
  <c r="I54" i="13"/>
  <c r="I55" i="13"/>
  <c r="I56" i="13"/>
  <c r="I57" i="13"/>
  <c r="I58" i="13"/>
  <c r="I59" i="13"/>
  <c r="I60" i="13"/>
  <c r="I61" i="13"/>
  <c r="I62" i="13"/>
  <c r="I63" i="13"/>
  <c r="I64" i="13"/>
  <c r="I65" i="13"/>
  <c r="I66" i="13"/>
  <c r="I67" i="13"/>
  <c r="I68" i="13"/>
  <c r="I69" i="13"/>
  <c r="I70" i="13"/>
  <c r="I71" i="13"/>
  <c r="I72" i="13"/>
  <c r="H48" i="13"/>
  <c r="I6" i="34" s="1"/>
  <c r="H49" i="13"/>
  <c r="J50" i="34" s="1"/>
  <c r="H50" i="13"/>
  <c r="H51" i="13"/>
  <c r="H52" i="13"/>
  <c r="H53" i="13"/>
  <c r="H54" i="13"/>
  <c r="H55" i="13"/>
  <c r="H56" i="13"/>
  <c r="H57" i="13"/>
  <c r="H58" i="13"/>
  <c r="H59" i="13"/>
  <c r="H60" i="13"/>
  <c r="H61" i="13"/>
  <c r="H62" i="13"/>
  <c r="H63" i="13"/>
  <c r="H64" i="13"/>
  <c r="H65" i="13"/>
  <c r="H66" i="13"/>
  <c r="H67" i="13"/>
  <c r="H68" i="13"/>
  <c r="H69" i="13"/>
  <c r="H70" i="13"/>
  <c r="H71" i="13"/>
  <c r="A3" i="2"/>
  <c r="S6" i="34" l="1"/>
  <c r="R6" i="34"/>
  <c r="A4" i="2"/>
  <c r="R48" i="13"/>
  <c r="A47" i="34"/>
  <c r="A48" i="34" s="1"/>
  <c r="A45" i="34"/>
  <c r="A46" i="34" s="1"/>
  <c r="A43" i="34"/>
  <c r="A44" i="34" s="1"/>
  <c r="A41" i="34"/>
  <c r="A42" i="34" s="1"/>
  <c r="A39" i="34"/>
  <c r="A40" i="34" s="1"/>
  <c r="A37" i="34"/>
  <c r="A38" i="34" s="1"/>
  <c r="A35" i="34"/>
  <c r="A36" i="34" s="1"/>
  <c r="A34" i="34"/>
  <c r="A33" i="34"/>
  <c r="A31" i="34"/>
  <c r="A32" i="34" s="1"/>
  <c r="A29" i="34"/>
  <c r="A30" i="34" s="1"/>
  <c r="A27" i="34"/>
  <c r="A28" i="34" s="1"/>
  <c r="A25" i="34"/>
  <c r="A26" i="34" s="1"/>
  <c r="A24" i="34"/>
  <c r="A23" i="34"/>
  <c r="A21" i="34"/>
  <c r="A22" i="34" s="1"/>
  <c r="A19" i="34"/>
  <c r="A20" i="34" s="1"/>
  <c r="A17" i="34"/>
  <c r="A18" i="34" s="1"/>
  <c r="A15" i="34"/>
  <c r="A16" i="34" s="1"/>
  <c r="A13" i="34"/>
  <c r="A14" i="34" s="1"/>
  <c r="A11" i="34"/>
  <c r="A12" i="34" s="1"/>
  <c r="A9" i="34"/>
  <c r="A10" i="34" s="1"/>
  <c r="K7" i="34"/>
  <c r="A7" i="34"/>
  <c r="A8" i="34" s="1"/>
  <c r="S49" i="34"/>
  <c r="A6" i="34"/>
  <c r="C183" i="33"/>
  <c r="E183" i="33" s="1"/>
  <c r="C182" i="33"/>
  <c r="E182" i="33" s="1"/>
  <c r="C181" i="33"/>
  <c r="E181" i="33" s="1"/>
  <c r="C180" i="33"/>
  <c r="E180" i="33" s="1"/>
  <c r="C179" i="33"/>
  <c r="E179" i="33" s="1"/>
  <c r="C178" i="33"/>
  <c r="E178" i="33" s="1"/>
  <c r="C177" i="33"/>
  <c r="E177" i="33" s="1"/>
  <c r="C176" i="33"/>
  <c r="E176" i="33" s="1"/>
  <c r="C175" i="33"/>
  <c r="E175" i="33" s="1"/>
  <c r="C174" i="33"/>
  <c r="E174" i="33" s="1"/>
  <c r="C173" i="33"/>
  <c r="E173" i="33" s="1"/>
  <c r="C172" i="33"/>
  <c r="E172" i="33" s="1"/>
  <c r="C171" i="33"/>
  <c r="E171" i="33" s="1"/>
  <c r="C170" i="33"/>
  <c r="E170" i="33" s="1"/>
  <c r="C169" i="33"/>
  <c r="E169" i="33" s="1"/>
  <c r="C168" i="33"/>
  <c r="E168" i="33" s="1"/>
  <c r="C167" i="33"/>
  <c r="E167" i="33" s="1"/>
  <c r="C166" i="33"/>
  <c r="E166" i="33" s="1"/>
  <c r="C165" i="33"/>
  <c r="E165" i="33" s="1"/>
  <c r="C164" i="33"/>
  <c r="E164" i="33" s="1"/>
  <c r="C163" i="33"/>
  <c r="E163" i="33" s="1"/>
  <c r="E162" i="33"/>
  <c r="C162" i="33"/>
  <c r="C161" i="33"/>
  <c r="E161" i="33" s="1"/>
  <c r="C160" i="33"/>
  <c r="E160" i="33" s="1"/>
  <c r="C159" i="33"/>
  <c r="E159" i="33" s="1"/>
  <c r="C158" i="33"/>
  <c r="E158" i="33" s="1"/>
  <c r="C157" i="33"/>
  <c r="E157" i="33" s="1"/>
  <c r="C156" i="33"/>
  <c r="E156" i="33" s="1"/>
  <c r="C155" i="33"/>
  <c r="E155" i="33" s="1"/>
  <c r="C154" i="33"/>
  <c r="E154" i="33" s="1"/>
  <c r="C153" i="33"/>
  <c r="E153" i="33" s="1"/>
  <c r="C152" i="33"/>
  <c r="E152" i="33" s="1"/>
  <c r="C151" i="33"/>
  <c r="E151" i="33" s="1"/>
  <c r="C150" i="33"/>
  <c r="E150" i="33" s="1"/>
  <c r="C149" i="33"/>
  <c r="E149" i="33" s="1"/>
  <c r="C148" i="33"/>
  <c r="E148" i="33" s="1"/>
  <c r="C147" i="33"/>
  <c r="E147" i="33" s="1"/>
  <c r="C146" i="33"/>
  <c r="E146" i="33" s="1"/>
  <c r="C145" i="33"/>
  <c r="E145" i="33" s="1"/>
  <c r="C144" i="33"/>
  <c r="E144" i="33" s="1"/>
  <c r="C143" i="33"/>
  <c r="E143" i="33" s="1"/>
  <c r="C142" i="33"/>
  <c r="E142" i="33" s="1"/>
  <c r="C141" i="33"/>
  <c r="E141" i="33" s="1"/>
  <c r="C140" i="33"/>
  <c r="E140" i="33" s="1"/>
  <c r="C139" i="33"/>
  <c r="E139" i="33" s="1"/>
  <c r="C138" i="33"/>
  <c r="E138" i="33" s="1"/>
  <c r="C137" i="33"/>
  <c r="E137" i="33" s="1"/>
  <c r="C136" i="33"/>
  <c r="E136" i="33" s="1"/>
  <c r="C135" i="33"/>
  <c r="E135" i="33" s="1"/>
  <c r="C134" i="33"/>
  <c r="E134" i="33" s="1"/>
  <c r="C133" i="33"/>
  <c r="E133" i="33" s="1"/>
  <c r="C132" i="33"/>
  <c r="E132" i="33" s="1"/>
  <c r="C131" i="33"/>
  <c r="E131" i="33" s="1"/>
  <c r="E130" i="33"/>
  <c r="C130" i="33"/>
  <c r="C129" i="33"/>
  <c r="E129" i="33" s="1"/>
  <c r="C128" i="33"/>
  <c r="E128" i="33" s="1"/>
  <c r="C127" i="33"/>
  <c r="E127" i="33" s="1"/>
  <c r="C126" i="33"/>
  <c r="E126" i="33" s="1"/>
  <c r="C125" i="33"/>
  <c r="E125" i="33" s="1"/>
  <c r="C124" i="33"/>
  <c r="E124" i="33" s="1"/>
  <c r="C123" i="33"/>
  <c r="E123" i="33" s="1"/>
  <c r="C122" i="33"/>
  <c r="E122" i="33" s="1"/>
  <c r="C121" i="33"/>
  <c r="E121" i="33" s="1"/>
  <c r="C120" i="33"/>
  <c r="E120" i="33" s="1"/>
  <c r="C119" i="33"/>
  <c r="E119" i="33" s="1"/>
  <c r="C118" i="33"/>
  <c r="E118" i="33" s="1"/>
  <c r="C117" i="33"/>
  <c r="E117" i="33" s="1"/>
  <c r="C116" i="33"/>
  <c r="E116" i="33" s="1"/>
  <c r="C115" i="33"/>
  <c r="E115" i="33" s="1"/>
  <c r="C114" i="33"/>
  <c r="E114" i="33" s="1"/>
  <c r="C113" i="33"/>
  <c r="E113" i="33" s="1"/>
  <c r="C112" i="33"/>
  <c r="E112" i="33" s="1"/>
  <c r="C111" i="33"/>
  <c r="E111" i="33" s="1"/>
  <c r="C110" i="33"/>
  <c r="E110" i="33" s="1"/>
  <c r="C109" i="33"/>
  <c r="E109" i="33" s="1"/>
  <c r="C108" i="33"/>
  <c r="E108" i="33" s="1"/>
  <c r="C107" i="33"/>
  <c r="E107" i="33" s="1"/>
  <c r="C106" i="33"/>
  <c r="E106" i="33" s="1"/>
  <c r="C105" i="33"/>
  <c r="E105" i="33" s="1"/>
  <c r="C104" i="33"/>
  <c r="E104" i="33" s="1"/>
  <c r="C103" i="33"/>
  <c r="E103" i="33" s="1"/>
  <c r="C102" i="33"/>
  <c r="E102" i="33" s="1"/>
  <c r="C101" i="33"/>
  <c r="E101" i="33" s="1"/>
  <c r="C100" i="33"/>
  <c r="E100" i="33" s="1"/>
  <c r="C99" i="33"/>
  <c r="E99" i="33" s="1"/>
  <c r="C98" i="33"/>
  <c r="E98" i="33" s="1"/>
  <c r="C97" i="33"/>
  <c r="E97" i="33" s="1"/>
  <c r="C96" i="33"/>
  <c r="E96" i="33" s="1"/>
  <c r="C95" i="33"/>
  <c r="E95" i="33" s="1"/>
  <c r="C94" i="33"/>
  <c r="E94" i="33" s="1"/>
  <c r="C93" i="33"/>
  <c r="E93" i="33" s="1"/>
  <c r="C92" i="33"/>
  <c r="E92" i="33" s="1"/>
  <c r="C91" i="33"/>
  <c r="E91" i="33" s="1"/>
  <c r="C90" i="33"/>
  <c r="E90" i="33" s="1"/>
  <c r="C89" i="33"/>
  <c r="E89" i="33" s="1"/>
  <c r="C88" i="33"/>
  <c r="E88" i="33" s="1"/>
  <c r="C87" i="33"/>
  <c r="E87" i="33" s="1"/>
  <c r="C86" i="33"/>
  <c r="E86" i="33" s="1"/>
  <c r="C85" i="33"/>
  <c r="E85" i="33" s="1"/>
  <c r="C84" i="33"/>
  <c r="E84" i="33" s="1"/>
  <c r="E83" i="33"/>
  <c r="C83" i="33"/>
  <c r="C82" i="33"/>
  <c r="E82" i="33" s="1"/>
  <c r="C81" i="33"/>
  <c r="E81" i="33" s="1"/>
  <c r="C80" i="33"/>
  <c r="E80" i="33" s="1"/>
  <c r="C79" i="33"/>
  <c r="E79" i="33" s="1"/>
  <c r="C78" i="33"/>
  <c r="E78" i="33" s="1"/>
  <c r="E77" i="33"/>
  <c r="C77" i="33"/>
  <c r="C76" i="33"/>
  <c r="E76" i="33" s="1"/>
  <c r="C75" i="33"/>
  <c r="E75" i="33" s="1"/>
  <c r="C74" i="33"/>
  <c r="E74" i="33" s="1"/>
  <c r="E73" i="33"/>
  <c r="C73" i="33"/>
  <c r="C72" i="33"/>
  <c r="E72" i="33" s="1"/>
  <c r="C71" i="33"/>
  <c r="E71" i="33" s="1"/>
  <c r="C70" i="33"/>
  <c r="E70" i="33" s="1"/>
  <c r="C69" i="33"/>
  <c r="E69" i="33" s="1"/>
  <c r="C68" i="33"/>
  <c r="E68" i="33" s="1"/>
  <c r="E67" i="33"/>
  <c r="C67" i="33"/>
  <c r="E66" i="33"/>
  <c r="C66" i="33"/>
  <c r="C65" i="33"/>
  <c r="E65" i="33" s="1"/>
  <c r="C64" i="33"/>
  <c r="E64" i="33" s="1"/>
  <c r="C63" i="33"/>
  <c r="E63" i="33" s="1"/>
  <c r="E62" i="33"/>
  <c r="C62" i="33"/>
  <c r="C61" i="33"/>
  <c r="E61" i="33" s="1"/>
  <c r="C60" i="33"/>
  <c r="E60" i="33" s="1"/>
  <c r="C59" i="33"/>
  <c r="E59" i="33" s="1"/>
  <c r="C58" i="33"/>
  <c r="E58" i="33" s="1"/>
  <c r="C57" i="33"/>
  <c r="E57" i="33" s="1"/>
  <c r="C56" i="33"/>
  <c r="E56" i="33" s="1"/>
  <c r="C55" i="33"/>
  <c r="E55" i="33" s="1"/>
  <c r="E54" i="33"/>
  <c r="C54" i="33"/>
  <c r="C53" i="33"/>
  <c r="E53" i="33" s="1"/>
  <c r="C52" i="33"/>
  <c r="E52" i="33" s="1"/>
  <c r="C51" i="33"/>
  <c r="E51" i="33" s="1"/>
  <c r="C50" i="33"/>
  <c r="E50" i="33" s="1"/>
  <c r="C49" i="33"/>
  <c r="E49" i="33" s="1"/>
  <c r="C48" i="33"/>
  <c r="E48" i="33" s="1"/>
  <c r="C47" i="33"/>
  <c r="E47" i="33" s="1"/>
  <c r="C46" i="33"/>
  <c r="E46" i="33" s="1"/>
  <c r="C45" i="33"/>
  <c r="E45" i="33" s="1"/>
  <c r="E44" i="33"/>
  <c r="D9" i="33"/>
  <c r="N14" i="34" s="1"/>
  <c r="D8" i="33"/>
  <c r="N13" i="34" s="1"/>
  <c r="D7" i="33"/>
  <c r="N12" i="34" s="1"/>
  <c r="D6" i="33"/>
  <c r="N11" i="34" s="1"/>
  <c r="D5" i="33"/>
  <c r="N10" i="34" s="1"/>
  <c r="D4" i="33"/>
  <c r="N9" i="34" s="1"/>
  <c r="D3" i="33"/>
  <c r="N8" i="34" s="1"/>
  <c r="B3" i="33"/>
  <c r="D2" i="33"/>
  <c r="D10" i="33" l="1"/>
  <c r="D11" i="33" s="1"/>
  <c r="D12" i="33" s="1"/>
  <c r="S55" i="34"/>
  <c r="A5" i="2"/>
  <c r="Q48" i="13"/>
  <c r="S48" i="13" s="1"/>
  <c r="N17" i="34"/>
  <c r="E12" i="33"/>
  <c r="D13" i="33"/>
  <c r="K8" i="34"/>
  <c r="B4" i="33"/>
  <c r="R49" i="34"/>
  <c r="Q6" i="34"/>
  <c r="N16" i="34"/>
  <c r="E11" i="33"/>
  <c r="N7" i="34"/>
  <c r="F2" i="33"/>
  <c r="F3" i="33" s="1"/>
  <c r="F4" i="33" s="1"/>
  <c r="F5" i="33" s="1"/>
  <c r="F6" i="33" s="1"/>
  <c r="F7" i="33" s="1"/>
  <c r="F8" i="33" s="1"/>
  <c r="F9" i="33" s="1"/>
  <c r="F10" i="33" s="1"/>
  <c r="F11" i="33" s="1"/>
  <c r="F12" i="33" s="1"/>
  <c r="F13" i="33" s="1"/>
  <c r="N15" i="34"/>
  <c r="E10" i="33"/>
  <c r="B27" i="7"/>
  <c r="B34" i="7" s="1"/>
  <c r="B9" i="26"/>
  <c r="R55" i="34" l="1"/>
  <c r="A6" i="2"/>
  <c r="Q7" i="34"/>
  <c r="N18" i="34"/>
  <c r="E13" i="33"/>
  <c r="D14" i="33"/>
  <c r="Q49" i="34"/>
  <c r="S5" i="34"/>
  <c r="I49" i="34"/>
  <c r="F14" i="33"/>
  <c r="R5" i="34"/>
  <c r="K9" i="34"/>
  <c r="B5" i="33"/>
  <c r="C16" i="26" l="1"/>
  <c r="I55" i="34"/>
  <c r="Q55" i="34"/>
  <c r="A7" i="2"/>
  <c r="K10" i="34"/>
  <c r="B6" i="33"/>
  <c r="N19" i="34"/>
  <c r="E14" i="33"/>
  <c r="D15" i="33"/>
  <c r="F15" i="33" s="1"/>
  <c r="Q8" i="34"/>
  <c r="C15" i="7"/>
  <c r="D15" i="7"/>
  <c r="E15" i="7"/>
  <c r="F15" i="7"/>
  <c r="G15" i="7"/>
  <c r="H15" i="7"/>
  <c r="I15" i="7"/>
  <c r="B15" i="7"/>
  <c r="B16" i="7" l="1"/>
  <c r="A8" i="2"/>
  <c r="K11" i="34"/>
  <c r="B7" i="33"/>
  <c r="Q9" i="34"/>
  <c r="E15" i="33"/>
  <c r="N20" i="34"/>
  <c r="D16" i="33"/>
  <c r="D21" i="7"/>
  <c r="D19" i="7"/>
  <c r="B20" i="7"/>
  <c r="D20" i="7" s="1"/>
  <c r="A9" i="2" l="1"/>
  <c r="N21" i="34"/>
  <c r="E16" i="33"/>
  <c r="D17" i="33"/>
  <c r="K12" i="34"/>
  <c r="B8" i="33"/>
  <c r="F16" i="33"/>
  <c r="Q10" i="34"/>
  <c r="K3" i="13"/>
  <c r="T3" i="13"/>
  <c r="B3" i="13"/>
  <c r="A10" i="2" l="1"/>
  <c r="K13" i="34"/>
  <c r="B9" i="33"/>
  <c r="N22" i="34"/>
  <c r="E17" i="33"/>
  <c r="D18" i="33"/>
  <c r="F17" i="33"/>
  <c r="Q11" i="34"/>
  <c r="D20" i="14"/>
  <c r="E20" i="14"/>
  <c r="F20" i="14"/>
  <c r="G20" i="14"/>
  <c r="H20" i="14"/>
  <c r="I20" i="14"/>
  <c r="J20" i="14"/>
  <c r="C20" i="14"/>
  <c r="D19" i="14"/>
  <c r="E19" i="14"/>
  <c r="F19" i="14"/>
  <c r="G19" i="14"/>
  <c r="H19" i="14"/>
  <c r="I19" i="14"/>
  <c r="J19" i="14"/>
  <c r="C19" i="14"/>
  <c r="D18" i="14"/>
  <c r="D23" i="14" s="1"/>
  <c r="E18" i="14"/>
  <c r="E23" i="14" s="1"/>
  <c r="F18" i="14"/>
  <c r="F23" i="14" s="1"/>
  <c r="G18" i="14"/>
  <c r="G23" i="14" s="1"/>
  <c r="H18" i="14"/>
  <c r="H23" i="14" s="1"/>
  <c r="I18" i="14"/>
  <c r="I23" i="14" s="1"/>
  <c r="J18" i="14"/>
  <c r="J23" i="14" s="1"/>
  <c r="C18" i="14"/>
  <c r="C23" i="14" s="1"/>
  <c r="C18" i="22"/>
  <c r="C23" i="22" s="1"/>
  <c r="D20" i="22"/>
  <c r="E20" i="22"/>
  <c r="F20" i="22"/>
  <c r="G20" i="22"/>
  <c r="H20" i="22"/>
  <c r="I20" i="22"/>
  <c r="C20" i="22"/>
  <c r="D19" i="22"/>
  <c r="E19" i="22"/>
  <c r="F19" i="22"/>
  <c r="G19" i="22"/>
  <c r="H19" i="22"/>
  <c r="I19" i="22"/>
  <c r="C19" i="22"/>
  <c r="D18" i="22"/>
  <c r="D23" i="22" s="1"/>
  <c r="E18" i="22"/>
  <c r="E23" i="22" s="1"/>
  <c r="F18" i="22"/>
  <c r="F23" i="22" s="1"/>
  <c r="G18" i="22"/>
  <c r="G23" i="22" s="1"/>
  <c r="H18" i="22"/>
  <c r="H23" i="22" s="1"/>
  <c r="I18" i="22"/>
  <c r="I23" i="22" s="1"/>
  <c r="J18" i="22"/>
  <c r="J23" i="22" s="1"/>
  <c r="F18" i="33" l="1"/>
  <c r="A11" i="2"/>
  <c r="K14" i="34"/>
  <c r="B10" i="33"/>
  <c r="Q12" i="34"/>
  <c r="N23" i="34"/>
  <c r="E18" i="33"/>
  <c r="D19" i="33"/>
  <c r="A12" i="2" l="1"/>
  <c r="K15" i="34"/>
  <c r="B11" i="33"/>
  <c r="N24" i="34"/>
  <c r="E19" i="33"/>
  <c r="D20" i="33"/>
  <c r="Q13" i="34"/>
  <c r="F19" i="33"/>
  <c r="F20" i="33" s="1"/>
  <c r="C5" i="4"/>
  <c r="A3" i="24" s="1"/>
  <c r="A4" i="24" s="1"/>
  <c r="C4" i="4"/>
  <c r="B32" i="26"/>
  <c r="B31" i="26"/>
  <c r="D5" i="15"/>
  <c r="A5" i="24" l="1"/>
  <c r="B1" i="7"/>
  <c r="A13" i="2"/>
  <c r="A3" i="16"/>
  <c r="C22" i="4"/>
  <c r="N25" i="34"/>
  <c r="E20" i="33"/>
  <c r="D21" i="33"/>
  <c r="F21" i="33" s="1"/>
  <c r="Q14" i="34"/>
  <c r="K16" i="34"/>
  <c r="B12" i="33"/>
  <c r="B2" i="23"/>
  <c r="B2" i="15"/>
  <c r="A6" i="24" l="1"/>
  <c r="A14" i="2"/>
  <c r="A4" i="16"/>
  <c r="N26" i="34"/>
  <c r="E21" i="33"/>
  <c r="D22" i="33"/>
  <c r="Q15" i="34"/>
  <c r="B13" i="33"/>
  <c r="K17" i="34"/>
  <c r="A7" i="24" l="1"/>
  <c r="A15" i="2"/>
  <c r="A5" i="16"/>
  <c r="Q16" i="34"/>
  <c r="N27" i="34"/>
  <c r="E22" i="33"/>
  <c r="D23" i="33"/>
  <c r="K18" i="34"/>
  <c r="B14" i="33"/>
  <c r="F22" i="33"/>
  <c r="F23" i="33" s="1"/>
  <c r="A8" i="24" l="1"/>
  <c r="A16" i="2"/>
  <c r="A6" i="16"/>
  <c r="K19" i="34"/>
  <c r="B15" i="33"/>
  <c r="E23" i="33"/>
  <c r="D24" i="33"/>
  <c r="F24" i="33" s="1"/>
  <c r="N28" i="34"/>
  <c r="Q17" i="34"/>
  <c r="A9" i="24" l="1"/>
  <c r="A17" i="2"/>
  <c r="A7" i="16"/>
  <c r="K20" i="34"/>
  <c r="B16" i="33"/>
  <c r="Q18" i="34"/>
  <c r="N29" i="34"/>
  <c r="E24" i="33"/>
  <c r="D25" i="33"/>
  <c r="F25" i="33" s="1"/>
  <c r="A10" i="24" l="1"/>
  <c r="A18" i="2"/>
  <c r="A8" i="16"/>
  <c r="K21" i="34"/>
  <c r="B17" i="33"/>
  <c r="Q19" i="34"/>
  <c r="N30" i="34"/>
  <c r="E25" i="33"/>
  <c r="D26" i="33"/>
  <c r="A11" i="24" l="1"/>
  <c r="A19" i="2"/>
  <c r="A9" i="16"/>
  <c r="N31" i="34"/>
  <c r="E26" i="33"/>
  <c r="D27" i="33"/>
  <c r="K22" i="34"/>
  <c r="B18" i="33"/>
  <c r="Q20" i="34"/>
  <c r="F26" i="33"/>
  <c r="A12" i="24" l="1"/>
  <c r="A20" i="2"/>
  <c r="A10" i="16"/>
  <c r="F27" i="33"/>
  <c r="N32" i="34"/>
  <c r="E27" i="33"/>
  <c r="D28" i="33"/>
  <c r="K23" i="34"/>
  <c r="B19" i="33"/>
  <c r="Q21" i="34"/>
  <c r="A13" i="24" l="1"/>
  <c r="A21" i="2"/>
  <c r="A11" i="16"/>
  <c r="Q22" i="34"/>
  <c r="N33" i="34"/>
  <c r="E28" i="33"/>
  <c r="D29" i="33"/>
  <c r="K24" i="34"/>
  <c r="B20" i="33"/>
  <c r="F28" i="33"/>
  <c r="F29" i="33" s="1"/>
  <c r="A14" i="24" l="1"/>
  <c r="A22" i="2"/>
  <c r="A12" i="16"/>
  <c r="K25" i="34"/>
  <c r="B21" i="33"/>
  <c r="N34" i="34"/>
  <c r="E29" i="33"/>
  <c r="D30" i="33"/>
  <c r="Q23" i="34"/>
  <c r="A15" i="24" l="1"/>
  <c r="A23" i="2"/>
  <c r="A13" i="16"/>
  <c r="N35" i="34"/>
  <c r="E30" i="33"/>
  <c r="D31" i="33"/>
  <c r="K26" i="34"/>
  <c r="B22" i="33"/>
  <c r="Q24" i="34"/>
  <c r="F30" i="33"/>
  <c r="A16" i="24" l="1"/>
  <c r="A24" i="2"/>
  <c r="A14" i="16"/>
  <c r="Q25" i="34"/>
  <c r="N36" i="34"/>
  <c r="E31" i="33"/>
  <c r="D32" i="33"/>
  <c r="K27" i="34"/>
  <c r="B23" i="33"/>
  <c r="F31" i="33"/>
  <c r="A17" i="24" l="1"/>
  <c r="A25" i="2"/>
  <c r="A15" i="16"/>
  <c r="N37" i="34"/>
  <c r="E32" i="33"/>
  <c r="D33" i="33"/>
  <c r="K28" i="34"/>
  <c r="B24" i="33"/>
  <c r="F32" i="33"/>
  <c r="Q26" i="34"/>
  <c r="A18" i="24" l="1"/>
  <c r="A26" i="2"/>
  <c r="A16" i="16"/>
  <c r="K29" i="34"/>
  <c r="B25" i="33"/>
  <c r="Q27" i="34"/>
  <c r="N38" i="34"/>
  <c r="E33" i="33"/>
  <c r="D34" i="33"/>
  <c r="F33" i="33"/>
  <c r="F34" i="33" s="1"/>
  <c r="A19" i="24" l="1"/>
  <c r="A27" i="2"/>
  <c r="A17" i="16"/>
  <c r="K30" i="34"/>
  <c r="B26" i="33"/>
  <c r="Q28" i="34"/>
  <c r="N39" i="34"/>
  <c r="E34" i="33"/>
  <c r="D35" i="33"/>
  <c r="F35" i="33" s="1"/>
  <c r="A20" i="24" l="1"/>
  <c r="A28" i="2"/>
  <c r="A18" i="16"/>
  <c r="K31" i="34"/>
  <c r="B27" i="33"/>
  <c r="N40" i="34"/>
  <c r="E35" i="33"/>
  <c r="D36" i="33"/>
  <c r="Q29" i="34"/>
  <c r="A21" i="24" l="1"/>
  <c r="A29" i="2"/>
  <c r="A19" i="16"/>
  <c r="N41" i="34"/>
  <c r="E36" i="33"/>
  <c r="D37" i="33"/>
  <c r="F36" i="33"/>
  <c r="K32" i="34"/>
  <c r="B28" i="33"/>
  <c r="Q30" i="34"/>
  <c r="B35" i="4"/>
  <c r="B36" i="4"/>
  <c r="U188" i="13"/>
  <c r="T188" i="13"/>
  <c r="V188" i="13" s="1"/>
  <c r="C188" i="13"/>
  <c r="B188" i="13"/>
  <c r="U187" i="13"/>
  <c r="T187" i="13"/>
  <c r="V187" i="13" s="1"/>
  <c r="C187" i="13"/>
  <c r="AD187" i="13" s="1"/>
  <c r="B187" i="13"/>
  <c r="U186" i="13"/>
  <c r="T186" i="13"/>
  <c r="V186" i="13" s="1"/>
  <c r="C186" i="13"/>
  <c r="B186" i="13"/>
  <c r="U185" i="13"/>
  <c r="T185" i="13"/>
  <c r="V185" i="13" s="1"/>
  <c r="C185" i="13"/>
  <c r="AD185" i="13" s="1"/>
  <c r="B185" i="13"/>
  <c r="U184" i="13"/>
  <c r="T184" i="13"/>
  <c r="V184" i="13" s="1"/>
  <c r="C184" i="13"/>
  <c r="B184" i="13"/>
  <c r="U183" i="13"/>
  <c r="T183" i="13"/>
  <c r="V183" i="13" s="1"/>
  <c r="C183" i="13"/>
  <c r="AD183" i="13" s="1"/>
  <c r="B183" i="13"/>
  <c r="U182" i="13"/>
  <c r="T182" i="13"/>
  <c r="V182" i="13" s="1"/>
  <c r="C182" i="13"/>
  <c r="B182" i="13"/>
  <c r="U181" i="13"/>
  <c r="T181" i="13"/>
  <c r="V181" i="13" s="1"/>
  <c r="C181" i="13"/>
  <c r="AD181" i="13" s="1"/>
  <c r="B181" i="13"/>
  <c r="U180" i="13"/>
  <c r="T180" i="13"/>
  <c r="V180" i="13" s="1"/>
  <c r="C180" i="13"/>
  <c r="B180" i="13"/>
  <c r="U179" i="13"/>
  <c r="T179" i="13"/>
  <c r="V179" i="13" s="1"/>
  <c r="C179" i="13"/>
  <c r="AD179" i="13" s="1"/>
  <c r="B179" i="13"/>
  <c r="U178" i="13"/>
  <c r="T178" i="13"/>
  <c r="V178" i="13" s="1"/>
  <c r="C178" i="13"/>
  <c r="B178" i="13"/>
  <c r="U177" i="13"/>
  <c r="T177" i="13"/>
  <c r="V177" i="13" s="1"/>
  <c r="C177" i="13"/>
  <c r="AD177" i="13" s="1"/>
  <c r="B177" i="13"/>
  <c r="U176" i="13"/>
  <c r="T176" i="13"/>
  <c r="V176" i="13" s="1"/>
  <c r="C176" i="13"/>
  <c r="B176" i="13"/>
  <c r="U175" i="13"/>
  <c r="T175" i="13"/>
  <c r="V175" i="13" s="1"/>
  <c r="C175" i="13"/>
  <c r="AD175" i="13" s="1"/>
  <c r="B175" i="13"/>
  <c r="U174" i="13"/>
  <c r="T174" i="13"/>
  <c r="V174" i="13" s="1"/>
  <c r="C174" i="13"/>
  <c r="B174" i="13"/>
  <c r="U173" i="13"/>
  <c r="T173" i="13"/>
  <c r="V173" i="13" s="1"/>
  <c r="C173" i="13"/>
  <c r="AD173" i="13" s="1"/>
  <c r="B173" i="13"/>
  <c r="U172" i="13"/>
  <c r="T172" i="13"/>
  <c r="V172" i="13" s="1"/>
  <c r="C172" i="13"/>
  <c r="B172" i="13"/>
  <c r="U171" i="13"/>
  <c r="T171" i="13"/>
  <c r="V171" i="13" s="1"/>
  <c r="C171" i="13"/>
  <c r="AD171" i="13" s="1"/>
  <c r="B171" i="13"/>
  <c r="U170" i="13"/>
  <c r="T170" i="13"/>
  <c r="V170" i="13" s="1"/>
  <c r="C170" i="13"/>
  <c r="B170" i="13"/>
  <c r="U169" i="13"/>
  <c r="T169" i="13"/>
  <c r="V169" i="13" s="1"/>
  <c r="C169" i="13"/>
  <c r="AD169" i="13" s="1"/>
  <c r="B169" i="13"/>
  <c r="U168" i="13"/>
  <c r="T168" i="13"/>
  <c r="V168" i="13" s="1"/>
  <c r="C168" i="13"/>
  <c r="B168" i="13"/>
  <c r="U167" i="13"/>
  <c r="T167" i="13"/>
  <c r="V167" i="13" s="1"/>
  <c r="C167" i="13"/>
  <c r="AD167" i="13" s="1"/>
  <c r="B167" i="13"/>
  <c r="U166" i="13"/>
  <c r="T166" i="13"/>
  <c r="V166" i="13" s="1"/>
  <c r="C166" i="13"/>
  <c r="B166" i="13"/>
  <c r="U165" i="13"/>
  <c r="T165" i="13"/>
  <c r="V165" i="13" s="1"/>
  <c r="C165" i="13"/>
  <c r="AD165" i="13" s="1"/>
  <c r="B165" i="13"/>
  <c r="U164" i="13"/>
  <c r="T164" i="13"/>
  <c r="V164" i="13" s="1"/>
  <c r="C164" i="13"/>
  <c r="B164" i="13"/>
  <c r="U163" i="13"/>
  <c r="T163" i="13"/>
  <c r="V163" i="13" s="1"/>
  <c r="C163" i="13"/>
  <c r="AD163" i="13" s="1"/>
  <c r="B163" i="13"/>
  <c r="U162" i="13"/>
  <c r="T162" i="13"/>
  <c r="V162" i="13" s="1"/>
  <c r="C162" i="13"/>
  <c r="B162" i="13"/>
  <c r="U161" i="13"/>
  <c r="T161" i="13"/>
  <c r="V161" i="13" s="1"/>
  <c r="C161" i="13"/>
  <c r="AD161" i="13" s="1"/>
  <c r="B161" i="13"/>
  <c r="U160" i="13"/>
  <c r="T160" i="13"/>
  <c r="V160" i="13" s="1"/>
  <c r="C160" i="13"/>
  <c r="B160" i="13"/>
  <c r="U159" i="13"/>
  <c r="T159" i="13"/>
  <c r="V159" i="13" s="1"/>
  <c r="C159" i="13"/>
  <c r="AD159" i="13" s="1"/>
  <c r="B159" i="13"/>
  <c r="U158" i="13"/>
  <c r="T158" i="13"/>
  <c r="V158" i="13" s="1"/>
  <c r="C158" i="13"/>
  <c r="B158" i="13"/>
  <c r="U157" i="13"/>
  <c r="T157" i="13"/>
  <c r="V157" i="13" s="1"/>
  <c r="C157" i="13"/>
  <c r="AD157" i="13" s="1"/>
  <c r="B157" i="13"/>
  <c r="U156" i="13"/>
  <c r="T156" i="13"/>
  <c r="V156" i="13" s="1"/>
  <c r="C156" i="13"/>
  <c r="B156" i="13"/>
  <c r="U155" i="13"/>
  <c r="T155" i="13"/>
  <c r="V155" i="13" s="1"/>
  <c r="C155" i="13"/>
  <c r="AD155" i="13" s="1"/>
  <c r="B155" i="13"/>
  <c r="U154" i="13"/>
  <c r="T154" i="13"/>
  <c r="V154" i="13" s="1"/>
  <c r="C154" i="13"/>
  <c r="B154" i="13"/>
  <c r="U153" i="13"/>
  <c r="T153" i="13"/>
  <c r="V153" i="13" s="1"/>
  <c r="C153" i="13"/>
  <c r="AD153" i="13" s="1"/>
  <c r="B153" i="13"/>
  <c r="U152" i="13"/>
  <c r="T152" i="13"/>
  <c r="V152" i="13" s="1"/>
  <c r="C152" i="13"/>
  <c r="AD152" i="13" s="1"/>
  <c r="B152" i="13"/>
  <c r="U151" i="13"/>
  <c r="T151" i="13"/>
  <c r="V151" i="13" s="1"/>
  <c r="C151" i="13"/>
  <c r="AD151" i="13" s="1"/>
  <c r="B151" i="13"/>
  <c r="U150" i="13"/>
  <c r="T150" i="13"/>
  <c r="V150" i="13" s="1"/>
  <c r="C150" i="13"/>
  <c r="B150" i="13"/>
  <c r="U149" i="13"/>
  <c r="T149" i="13"/>
  <c r="V149" i="13" s="1"/>
  <c r="C149" i="13"/>
  <c r="AD149" i="13" s="1"/>
  <c r="B149" i="13"/>
  <c r="U148" i="13"/>
  <c r="T148" i="13"/>
  <c r="V148" i="13" s="1"/>
  <c r="C148" i="13"/>
  <c r="B148" i="13"/>
  <c r="U147" i="13"/>
  <c r="T147" i="13"/>
  <c r="V147" i="13" s="1"/>
  <c r="C147" i="13"/>
  <c r="AD147" i="13" s="1"/>
  <c r="B147" i="13"/>
  <c r="U146" i="13"/>
  <c r="T146" i="13"/>
  <c r="V146" i="13" s="1"/>
  <c r="C146" i="13"/>
  <c r="AD146" i="13" s="1"/>
  <c r="B146" i="13"/>
  <c r="U145" i="13"/>
  <c r="T145" i="13"/>
  <c r="V145" i="13" s="1"/>
  <c r="C145" i="13"/>
  <c r="AD145" i="13" s="1"/>
  <c r="B145" i="13"/>
  <c r="U144" i="13"/>
  <c r="T144" i="13"/>
  <c r="V144" i="13" s="1"/>
  <c r="C144" i="13"/>
  <c r="B144" i="13"/>
  <c r="U143" i="13"/>
  <c r="T143" i="13"/>
  <c r="V143" i="13" s="1"/>
  <c r="C143" i="13"/>
  <c r="AD143" i="13" s="1"/>
  <c r="B143" i="13"/>
  <c r="U142" i="13"/>
  <c r="T142" i="13"/>
  <c r="V142" i="13" s="1"/>
  <c r="C142" i="13"/>
  <c r="B142" i="13"/>
  <c r="D142" i="13" s="1"/>
  <c r="U141" i="13"/>
  <c r="T141" i="13"/>
  <c r="V141" i="13" s="1"/>
  <c r="C141" i="13"/>
  <c r="AD141" i="13" s="1"/>
  <c r="B141" i="13"/>
  <c r="U140" i="13"/>
  <c r="T140" i="13"/>
  <c r="V140" i="13" s="1"/>
  <c r="C140" i="13"/>
  <c r="B140" i="13"/>
  <c r="D140" i="13" s="1"/>
  <c r="U139" i="13"/>
  <c r="T139" i="13"/>
  <c r="V139" i="13" s="1"/>
  <c r="C139" i="13"/>
  <c r="AD139" i="13" s="1"/>
  <c r="B139" i="13"/>
  <c r="U138" i="13"/>
  <c r="T138" i="13"/>
  <c r="V138" i="13" s="1"/>
  <c r="C138" i="13"/>
  <c r="B138" i="13"/>
  <c r="D138" i="13" s="1"/>
  <c r="U137" i="13"/>
  <c r="T137" i="13"/>
  <c r="V137" i="13" s="1"/>
  <c r="C137" i="13"/>
  <c r="AD137" i="13" s="1"/>
  <c r="B137" i="13"/>
  <c r="U136" i="13"/>
  <c r="T136" i="13"/>
  <c r="V136" i="13" s="1"/>
  <c r="C136" i="13"/>
  <c r="B136" i="13"/>
  <c r="D136" i="13" s="1"/>
  <c r="U135" i="13"/>
  <c r="T135" i="13"/>
  <c r="V135" i="13" s="1"/>
  <c r="C135" i="13"/>
  <c r="AD135" i="13" s="1"/>
  <c r="B135" i="13"/>
  <c r="U134" i="13"/>
  <c r="T134" i="13"/>
  <c r="V134" i="13" s="1"/>
  <c r="C134" i="13"/>
  <c r="B134" i="13"/>
  <c r="U133" i="13"/>
  <c r="T133" i="13"/>
  <c r="V133" i="13" s="1"/>
  <c r="C133" i="13"/>
  <c r="AD133" i="13" s="1"/>
  <c r="B133" i="13"/>
  <c r="U132" i="13"/>
  <c r="T132" i="13"/>
  <c r="V132" i="13" s="1"/>
  <c r="C132" i="13"/>
  <c r="U131" i="13"/>
  <c r="T131" i="13"/>
  <c r="V131" i="13" s="1"/>
  <c r="C131" i="13"/>
  <c r="AD131" i="13" s="1"/>
  <c r="B131" i="13"/>
  <c r="U130" i="13"/>
  <c r="T130" i="13"/>
  <c r="V130" i="13" s="1"/>
  <c r="C130" i="13"/>
  <c r="AD130" i="13" s="1"/>
  <c r="B130" i="13"/>
  <c r="U129" i="13"/>
  <c r="T129" i="13"/>
  <c r="V129" i="13" s="1"/>
  <c r="C129" i="13"/>
  <c r="AD129" i="13" s="1"/>
  <c r="B129" i="13"/>
  <c r="U128" i="13"/>
  <c r="T128" i="13"/>
  <c r="V128" i="13" s="1"/>
  <c r="C128" i="13"/>
  <c r="AD128" i="13" s="1"/>
  <c r="B128" i="13"/>
  <c r="D128" i="13" s="1"/>
  <c r="U127" i="13"/>
  <c r="T127" i="13"/>
  <c r="V127" i="13" s="1"/>
  <c r="F128" i="13"/>
  <c r="C127" i="13"/>
  <c r="AD127" i="13" s="1"/>
  <c r="B127" i="13"/>
  <c r="U126" i="13"/>
  <c r="AF126" i="13" s="1"/>
  <c r="T126" i="13"/>
  <c r="C126" i="13"/>
  <c r="B126" i="13"/>
  <c r="D126" i="13" s="1"/>
  <c r="U125" i="13"/>
  <c r="T125" i="13"/>
  <c r="V125" i="13" s="1"/>
  <c r="C125" i="13"/>
  <c r="AD125" i="13" s="1"/>
  <c r="B125" i="13"/>
  <c r="U124" i="13"/>
  <c r="AF124" i="13" s="1"/>
  <c r="T124" i="13"/>
  <c r="C124" i="13"/>
  <c r="B124" i="13"/>
  <c r="D124" i="13" s="1"/>
  <c r="U123" i="13"/>
  <c r="T123" i="13"/>
  <c r="V123" i="13" s="1"/>
  <c r="C123" i="13"/>
  <c r="AD123" i="13" s="1"/>
  <c r="B123" i="13"/>
  <c r="U122" i="13"/>
  <c r="AF122" i="13" s="1"/>
  <c r="T122" i="13"/>
  <c r="C122" i="13"/>
  <c r="B122" i="13"/>
  <c r="D122" i="13" s="1"/>
  <c r="U121" i="13"/>
  <c r="T121" i="13"/>
  <c r="V121" i="13" s="1"/>
  <c r="C121" i="13"/>
  <c r="AD121" i="13" s="1"/>
  <c r="B121" i="13"/>
  <c r="U120" i="13"/>
  <c r="AF120" i="13" s="1"/>
  <c r="T120" i="13"/>
  <c r="C120" i="13"/>
  <c r="B120" i="13"/>
  <c r="D120" i="13" s="1"/>
  <c r="U119" i="13"/>
  <c r="T119" i="13"/>
  <c r="V119" i="13" s="1"/>
  <c r="C119" i="13"/>
  <c r="B119" i="13"/>
  <c r="U118" i="13"/>
  <c r="AF118" i="13" s="1"/>
  <c r="T118" i="13"/>
  <c r="C118" i="13"/>
  <c r="B118" i="13"/>
  <c r="D118" i="13" s="1"/>
  <c r="U117" i="13"/>
  <c r="T117" i="13"/>
  <c r="V117" i="13" s="1"/>
  <c r="C117" i="13"/>
  <c r="AD117" i="13" s="1"/>
  <c r="B117" i="13"/>
  <c r="U116" i="13"/>
  <c r="AF116" i="13" s="1"/>
  <c r="T116" i="13"/>
  <c r="C116" i="13"/>
  <c r="B116" i="13"/>
  <c r="D116" i="13" s="1"/>
  <c r="U115" i="13"/>
  <c r="T115" i="13"/>
  <c r="V115" i="13" s="1"/>
  <c r="C115" i="13"/>
  <c r="B115" i="13"/>
  <c r="U114" i="13"/>
  <c r="AF114" i="13" s="1"/>
  <c r="T114" i="13"/>
  <c r="C114" i="13"/>
  <c r="F115" i="13" s="1"/>
  <c r="B114" i="13"/>
  <c r="D114" i="13" s="1"/>
  <c r="U113" i="13"/>
  <c r="AF113" i="13" s="1"/>
  <c r="T113" i="13"/>
  <c r="C113" i="13"/>
  <c r="B113" i="13"/>
  <c r="U112" i="13"/>
  <c r="AF112" i="13" s="1"/>
  <c r="T112" i="13"/>
  <c r="C112" i="13"/>
  <c r="B112" i="13"/>
  <c r="D112" i="13" s="1"/>
  <c r="U111" i="13"/>
  <c r="AF111" i="13" s="1"/>
  <c r="T111" i="13"/>
  <c r="C111" i="13"/>
  <c r="B111" i="13"/>
  <c r="U110" i="13"/>
  <c r="AF110" i="13" s="1"/>
  <c r="T110" i="13"/>
  <c r="V110" i="13" s="1"/>
  <c r="C110" i="13"/>
  <c r="B110" i="13"/>
  <c r="D110" i="13" s="1"/>
  <c r="U109" i="13"/>
  <c r="AF109" i="13" s="1"/>
  <c r="T109" i="13"/>
  <c r="C109" i="13"/>
  <c r="B109" i="13"/>
  <c r="D109" i="13" s="1"/>
  <c r="U108" i="13"/>
  <c r="AF108" i="13" s="1"/>
  <c r="T108" i="13"/>
  <c r="V108" i="13" s="1"/>
  <c r="C108" i="13"/>
  <c r="B108" i="13"/>
  <c r="D108" i="13" s="1"/>
  <c r="U107" i="13"/>
  <c r="AF107" i="13" s="1"/>
  <c r="T107" i="13"/>
  <c r="C107" i="13"/>
  <c r="B107" i="13"/>
  <c r="U106" i="13"/>
  <c r="AF106" i="13" s="1"/>
  <c r="T106" i="13"/>
  <c r="V106" i="13" s="1"/>
  <c r="C106" i="13"/>
  <c r="B106" i="13"/>
  <c r="U105" i="13"/>
  <c r="AF105" i="13" s="1"/>
  <c r="T105" i="13"/>
  <c r="C105" i="13"/>
  <c r="U104" i="13"/>
  <c r="C104" i="13"/>
  <c r="B104" i="13"/>
  <c r="D104" i="13" s="1"/>
  <c r="U103" i="13"/>
  <c r="T103" i="13"/>
  <c r="V103" i="13" s="1"/>
  <c r="C103" i="13"/>
  <c r="AD103" i="13" s="1"/>
  <c r="B103" i="13"/>
  <c r="U102" i="13"/>
  <c r="T102" i="13"/>
  <c r="V102" i="13" s="1"/>
  <c r="C102" i="13"/>
  <c r="B102" i="13"/>
  <c r="D102" i="13" s="1"/>
  <c r="U101" i="13"/>
  <c r="T101" i="13"/>
  <c r="V101" i="13" s="1"/>
  <c r="C101" i="13"/>
  <c r="AD101" i="13" s="1"/>
  <c r="B101" i="13"/>
  <c r="U100" i="13"/>
  <c r="T100" i="13"/>
  <c r="V100" i="13" s="1"/>
  <c r="C100" i="13"/>
  <c r="B100" i="13"/>
  <c r="D100" i="13" s="1"/>
  <c r="U99" i="13"/>
  <c r="T99" i="13"/>
  <c r="V99" i="13" s="1"/>
  <c r="C99" i="13"/>
  <c r="AD99" i="13" s="1"/>
  <c r="B99" i="13"/>
  <c r="U98" i="13"/>
  <c r="T98" i="13"/>
  <c r="V98" i="13" s="1"/>
  <c r="C98" i="13"/>
  <c r="B98" i="13"/>
  <c r="D98" i="13" s="1"/>
  <c r="U97" i="13"/>
  <c r="T97" i="13"/>
  <c r="V97" i="13" s="1"/>
  <c r="C97" i="13"/>
  <c r="AD97" i="13" s="1"/>
  <c r="B97" i="13"/>
  <c r="U96" i="13"/>
  <c r="T96" i="13"/>
  <c r="V96" i="13" s="1"/>
  <c r="C96" i="13"/>
  <c r="B96" i="13"/>
  <c r="D96" i="13" s="1"/>
  <c r="U95" i="13"/>
  <c r="T95" i="13"/>
  <c r="V95" i="13" s="1"/>
  <c r="C95" i="13"/>
  <c r="AD95" i="13" s="1"/>
  <c r="B95" i="13"/>
  <c r="U94" i="13"/>
  <c r="T94" i="13"/>
  <c r="V94" i="13" s="1"/>
  <c r="C94" i="13"/>
  <c r="B94" i="13"/>
  <c r="D94" i="13" s="1"/>
  <c r="U93" i="13"/>
  <c r="T93" i="13"/>
  <c r="V93" i="13" s="1"/>
  <c r="C93" i="13"/>
  <c r="AD93" i="13" s="1"/>
  <c r="B93" i="13"/>
  <c r="U92" i="13"/>
  <c r="T92" i="13"/>
  <c r="V92" i="13" s="1"/>
  <c r="C92" i="13"/>
  <c r="B92" i="13"/>
  <c r="D92" i="13" s="1"/>
  <c r="U91" i="13"/>
  <c r="T91" i="13"/>
  <c r="V91" i="13" s="1"/>
  <c r="C91" i="13"/>
  <c r="AD91" i="13" s="1"/>
  <c r="B91" i="13"/>
  <c r="U90" i="13"/>
  <c r="T90" i="13"/>
  <c r="V90" i="13" s="1"/>
  <c r="C90" i="13"/>
  <c r="B90" i="13"/>
  <c r="U89" i="13"/>
  <c r="T89" i="13"/>
  <c r="V89" i="13" s="1"/>
  <c r="C89" i="13"/>
  <c r="AD89" i="13" s="1"/>
  <c r="B89" i="13"/>
  <c r="U88" i="13"/>
  <c r="T88" i="13"/>
  <c r="V88" i="13" s="1"/>
  <c r="C88" i="13"/>
  <c r="B88" i="13"/>
  <c r="D88" i="13" s="1"/>
  <c r="U87" i="13"/>
  <c r="T87" i="13"/>
  <c r="V87" i="13" s="1"/>
  <c r="C87" i="13"/>
  <c r="B87" i="13"/>
  <c r="U86" i="13"/>
  <c r="T86" i="13"/>
  <c r="V86" i="13" s="1"/>
  <c r="C86" i="13"/>
  <c r="B86" i="13"/>
  <c r="U85" i="13"/>
  <c r="T85" i="13"/>
  <c r="V85" i="13" s="1"/>
  <c r="C85" i="13"/>
  <c r="AD85" i="13" s="1"/>
  <c r="B85" i="13"/>
  <c r="U84" i="13"/>
  <c r="T84" i="13"/>
  <c r="V84" i="13" s="1"/>
  <c r="C84" i="13"/>
  <c r="B84" i="13"/>
  <c r="D84" i="13" s="1"/>
  <c r="U83" i="13"/>
  <c r="T83" i="13"/>
  <c r="V83" i="13" s="1"/>
  <c r="C83" i="13"/>
  <c r="AD83" i="13" s="1"/>
  <c r="B83" i="13"/>
  <c r="U82" i="13"/>
  <c r="T82" i="13"/>
  <c r="V82" i="13" s="1"/>
  <c r="C82" i="13"/>
  <c r="B82" i="13"/>
  <c r="U81" i="13"/>
  <c r="T81" i="13"/>
  <c r="V81" i="13" s="1"/>
  <c r="C81" i="13"/>
  <c r="AD81" i="13" s="1"/>
  <c r="B81" i="13"/>
  <c r="U80" i="13"/>
  <c r="T80" i="13"/>
  <c r="V80" i="13" s="1"/>
  <c r="C80" i="13"/>
  <c r="B80" i="13"/>
  <c r="D80" i="13" s="1"/>
  <c r="U79" i="13"/>
  <c r="T79" i="13"/>
  <c r="V79" i="13" s="1"/>
  <c r="C79" i="13"/>
  <c r="AD79" i="13" s="1"/>
  <c r="B79" i="13"/>
  <c r="U78" i="13"/>
  <c r="T78" i="13"/>
  <c r="V78" i="13" s="1"/>
  <c r="C78" i="13"/>
  <c r="B78" i="13"/>
  <c r="D78" i="13" s="1"/>
  <c r="U77" i="13"/>
  <c r="T77" i="13"/>
  <c r="V77" i="13" s="1"/>
  <c r="E78" i="13"/>
  <c r="C77" i="13"/>
  <c r="AD77" i="13" s="1"/>
  <c r="B77" i="13"/>
  <c r="U76" i="13"/>
  <c r="AF76" i="13" s="1"/>
  <c r="T76" i="13"/>
  <c r="V76" i="13" s="1"/>
  <c r="C76" i="13"/>
  <c r="B76" i="13"/>
  <c r="D76" i="13" s="1"/>
  <c r="U75" i="13"/>
  <c r="AF75" i="13" s="1"/>
  <c r="T75" i="13"/>
  <c r="C75" i="13"/>
  <c r="B75" i="13"/>
  <c r="D75" i="13" s="1"/>
  <c r="U74" i="13"/>
  <c r="AF74" i="13" s="1"/>
  <c r="T74" i="13"/>
  <c r="C74" i="13"/>
  <c r="B74" i="13"/>
  <c r="D74" i="13" s="1"/>
  <c r="W74" i="13"/>
  <c r="U73" i="13"/>
  <c r="T73" i="13"/>
  <c r="V73" i="13" s="1"/>
  <c r="C73" i="13"/>
  <c r="B73" i="13"/>
  <c r="D73" i="13" s="1"/>
  <c r="U72" i="13"/>
  <c r="T72" i="13"/>
  <c r="V72" i="13" s="1"/>
  <c r="C72" i="13"/>
  <c r="B72" i="13"/>
  <c r="D72" i="13" s="1"/>
  <c r="U71" i="13"/>
  <c r="AF71" i="13" s="1"/>
  <c r="T71" i="13"/>
  <c r="V71" i="13" s="1"/>
  <c r="C71" i="13"/>
  <c r="B71" i="13"/>
  <c r="U70" i="13"/>
  <c r="T70" i="13"/>
  <c r="V70" i="13" s="1"/>
  <c r="C70" i="13"/>
  <c r="B70" i="13"/>
  <c r="U69" i="13"/>
  <c r="AF69" i="13" s="1"/>
  <c r="T69" i="13"/>
  <c r="V69" i="13" s="1"/>
  <c r="C69" i="13"/>
  <c r="B69" i="13"/>
  <c r="U68" i="13"/>
  <c r="T68" i="13"/>
  <c r="V68" i="13" s="1"/>
  <c r="C68" i="13"/>
  <c r="B68" i="13"/>
  <c r="U67" i="13"/>
  <c r="AF67" i="13" s="1"/>
  <c r="T67" i="13"/>
  <c r="V67" i="13" s="1"/>
  <c r="C67" i="13"/>
  <c r="B67" i="13"/>
  <c r="U66" i="13"/>
  <c r="T66" i="13"/>
  <c r="V66" i="13" s="1"/>
  <c r="C66" i="13"/>
  <c r="B66" i="13"/>
  <c r="U65" i="13"/>
  <c r="AF65" i="13" s="1"/>
  <c r="T65" i="13"/>
  <c r="V65" i="13" s="1"/>
  <c r="C65" i="13"/>
  <c r="B65" i="13"/>
  <c r="U64" i="13"/>
  <c r="T64" i="13"/>
  <c r="V64" i="13" s="1"/>
  <c r="C64" i="13"/>
  <c r="B64" i="13"/>
  <c r="U63" i="13"/>
  <c r="AF63" i="13" s="1"/>
  <c r="T63" i="13"/>
  <c r="V63" i="13" s="1"/>
  <c r="C63" i="13"/>
  <c r="B63" i="13"/>
  <c r="U62" i="13"/>
  <c r="T62" i="13"/>
  <c r="V62" i="13" s="1"/>
  <c r="C62" i="13"/>
  <c r="B62" i="13"/>
  <c r="U61" i="13"/>
  <c r="AF61" i="13" s="1"/>
  <c r="T61" i="13"/>
  <c r="V61" i="13" s="1"/>
  <c r="C61" i="13"/>
  <c r="B61" i="13"/>
  <c r="U60" i="13"/>
  <c r="T60" i="13"/>
  <c r="V60" i="13" s="1"/>
  <c r="C60" i="13"/>
  <c r="B60" i="13"/>
  <c r="U59" i="13"/>
  <c r="AF59" i="13" s="1"/>
  <c r="T59" i="13"/>
  <c r="V59" i="13" s="1"/>
  <c r="C59" i="13"/>
  <c r="B59" i="13"/>
  <c r="U58" i="13"/>
  <c r="T58" i="13"/>
  <c r="V58" i="13" s="1"/>
  <c r="C58" i="13"/>
  <c r="B58" i="13"/>
  <c r="U57" i="13"/>
  <c r="T57" i="13"/>
  <c r="V57" i="13" s="1"/>
  <c r="C57" i="13"/>
  <c r="B57" i="13"/>
  <c r="U56" i="13"/>
  <c r="T56" i="13"/>
  <c r="V56" i="13" s="1"/>
  <c r="C56" i="13"/>
  <c r="B56" i="13"/>
  <c r="U55" i="13"/>
  <c r="T55" i="13"/>
  <c r="V55" i="13" s="1"/>
  <c r="C55" i="13"/>
  <c r="B55" i="13"/>
  <c r="U54" i="13"/>
  <c r="T54" i="13"/>
  <c r="V54" i="13" s="1"/>
  <c r="C54" i="13"/>
  <c r="B54" i="13"/>
  <c r="U53" i="13"/>
  <c r="T53" i="13"/>
  <c r="V53" i="13" s="1"/>
  <c r="C53" i="13"/>
  <c r="B53" i="13"/>
  <c r="U52" i="13"/>
  <c r="T52" i="13"/>
  <c r="V52" i="13" s="1"/>
  <c r="C52" i="13"/>
  <c r="B52" i="13"/>
  <c r="U51" i="13"/>
  <c r="T51" i="13"/>
  <c r="V51" i="13" s="1"/>
  <c r="C51" i="13"/>
  <c r="B51" i="13"/>
  <c r="U50" i="13"/>
  <c r="T50" i="13"/>
  <c r="V50" i="13" s="1"/>
  <c r="C50" i="13"/>
  <c r="B50" i="13"/>
  <c r="U49" i="13"/>
  <c r="T49" i="13"/>
  <c r="V49" i="13" s="1"/>
  <c r="C49" i="13"/>
  <c r="B49" i="13"/>
  <c r="U48" i="13"/>
  <c r="T48" i="13"/>
  <c r="C48" i="13"/>
  <c r="B48" i="13"/>
  <c r="E52" i="13" l="1"/>
  <c r="D52" i="13"/>
  <c r="K60" i="13"/>
  <c r="E60" i="13"/>
  <c r="D60" i="13"/>
  <c r="L87" i="13"/>
  <c r="AD87" i="13"/>
  <c r="AD56" i="13"/>
  <c r="F56" i="13"/>
  <c r="AD62" i="13"/>
  <c r="F62" i="13"/>
  <c r="AD72" i="13"/>
  <c r="F72" i="13"/>
  <c r="AD76" i="13"/>
  <c r="AF81" i="13"/>
  <c r="AF87" i="13"/>
  <c r="AF93" i="13"/>
  <c r="AF99" i="13"/>
  <c r="L108" i="13"/>
  <c r="AD108" i="13"/>
  <c r="AF129" i="13"/>
  <c r="AF143" i="13"/>
  <c r="AF155" i="13"/>
  <c r="AF169" i="13"/>
  <c r="M6" i="34"/>
  <c r="AF48" i="13"/>
  <c r="AF50" i="13"/>
  <c r="AF52" i="13"/>
  <c r="AF54" i="13"/>
  <c r="AF56" i="13"/>
  <c r="AF58" i="13"/>
  <c r="AF60" i="13"/>
  <c r="AF62" i="13"/>
  <c r="AF64" i="13"/>
  <c r="AF66" i="13"/>
  <c r="AF68" i="13"/>
  <c r="AF70" i="13"/>
  <c r="AF72" i="13"/>
  <c r="V74" i="13"/>
  <c r="E77" i="13"/>
  <c r="K82" i="13"/>
  <c r="D82" i="13"/>
  <c r="K86" i="13"/>
  <c r="D86" i="13"/>
  <c r="K90" i="13"/>
  <c r="M90" i="13" s="1"/>
  <c r="D90" i="13"/>
  <c r="V112" i="13"/>
  <c r="AD116" i="13"/>
  <c r="AD118" i="13"/>
  <c r="L120" i="13"/>
  <c r="AD120" i="13"/>
  <c r="AD122" i="13"/>
  <c r="AD124" i="13"/>
  <c r="AD126" i="13"/>
  <c r="K130" i="13"/>
  <c r="M130" i="13" s="1"/>
  <c r="D130" i="13"/>
  <c r="K132" i="13"/>
  <c r="K134" i="13"/>
  <c r="D134" i="13"/>
  <c r="K144" i="13"/>
  <c r="D144" i="13"/>
  <c r="K146" i="13"/>
  <c r="D146" i="13"/>
  <c r="K148" i="13"/>
  <c r="D148" i="13"/>
  <c r="K150" i="13"/>
  <c r="D150" i="13"/>
  <c r="K152" i="13"/>
  <c r="D152" i="13"/>
  <c r="K154" i="13"/>
  <c r="D154" i="13"/>
  <c r="K156" i="13"/>
  <c r="D156" i="13"/>
  <c r="K158" i="13"/>
  <c r="D158" i="13"/>
  <c r="K160" i="13"/>
  <c r="D160" i="13"/>
  <c r="K162" i="13"/>
  <c r="D162" i="13"/>
  <c r="K164" i="13"/>
  <c r="D164" i="13"/>
  <c r="K166" i="13"/>
  <c r="D166" i="13"/>
  <c r="K168" i="13"/>
  <c r="D168" i="13"/>
  <c r="K170" i="13"/>
  <c r="D170" i="13"/>
  <c r="K172" i="13"/>
  <c r="D172" i="13"/>
  <c r="K174" i="13"/>
  <c r="D174" i="13"/>
  <c r="K176" i="13"/>
  <c r="D176" i="13"/>
  <c r="K178" i="13"/>
  <c r="D178" i="13"/>
  <c r="K180" i="13"/>
  <c r="D180" i="13"/>
  <c r="K182" i="13"/>
  <c r="D182" i="13"/>
  <c r="K184" i="13"/>
  <c r="D184" i="13"/>
  <c r="K186" i="13"/>
  <c r="D186" i="13"/>
  <c r="K188" i="13"/>
  <c r="D188" i="13"/>
  <c r="E50" i="13"/>
  <c r="D50" i="13"/>
  <c r="D56" i="13"/>
  <c r="E56" i="13"/>
  <c r="G56" i="13" s="1"/>
  <c r="D62" i="13"/>
  <c r="E62" i="13"/>
  <c r="G62" i="13" s="1"/>
  <c r="E66" i="13"/>
  <c r="D66" i="13"/>
  <c r="E68" i="13"/>
  <c r="D68" i="13"/>
  <c r="AD52" i="13"/>
  <c r="F52" i="13"/>
  <c r="AD66" i="13"/>
  <c r="F66" i="13"/>
  <c r="AF121" i="13"/>
  <c r="AD74" i="13"/>
  <c r="AF83" i="13"/>
  <c r="AF91" i="13"/>
  <c r="L106" i="13"/>
  <c r="AD106" i="13"/>
  <c r="AF135" i="13"/>
  <c r="AF149" i="13"/>
  <c r="AF165" i="13"/>
  <c r="C50" i="34"/>
  <c r="D49" i="13"/>
  <c r="B50" i="34" s="1"/>
  <c r="E49" i="13"/>
  <c r="E51" i="13"/>
  <c r="D51" i="13"/>
  <c r="D53" i="13"/>
  <c r="E53" i="13"/>
  <c r="G53" i="13" s="1"/>
  <c r="E55" i="13"/>
  <c r="D55" i="13"/>
  <c r="E57" i="13"/>
  <c r="D57" i="13"/>
  <c r="E59" i="13"/>
  <c r="D59" i="13"/>
  <c r="E61" i="13"/>
  <c r="D61" i="13"/>
  <c r="K63" i="13"/>
  <c r="E63" i="13"/>
  <c r="D63" i="13"/>
  <c r="E65" i="13"/>
  <c r="D65" i="13"/>
  <c r="K67" i="13"/>
  <c r="M67" i="13" s="1"/>
  <c r="E67" i="13"/>
  <c r="D67" i="13"/>
  <c r="E69" i="13"/>
  <c r="D69" i="13"/>
  <c r="K71" i="13"/>
  <c r="E71" i="13"/>
  <c r="D71" i="13"/>
  <c r="AD78" i="13"/>
  <c r="AD80" i="13"/>
  <c r="AD82" i="13"/>
  <c r="AD84" i="13"/>
  <c r="AD86" i="13"/>
  <c r="AD88" i="13"/>
  <c r="L90" i="13"/>
  <c r="AD90" i="13"/>
  <c r="AD92" i="13"/>
  <c r="AD94" i="13"/>
  <c r="AD96" i="13"/>
  <c r="AD98" i="13"/>
  <c r="AD100" i="13"/>
  <c r="AD102" i="13"/>
  <c r="L104" i="13"/>
  <c r="AD104" i="13"/>
  <c r="V114" i="13"/>
  <c r="V116" i="13"/>
  <c r="V118" i="13"/>
  <c r="V120" i="13"/>
  <c r="V122" i="13"/>
  <c r="V124" i="13"/>
  <c r="V126" i="13"/>
  <c r="AD132" i="13"/>
  <c r="D132" i="13"/>
  <c r="AD134" i="13"/>
  <c r="AD136" i="13"/>
  <c r="AD138" i="13"/>
  <c r="AD140" i="13"/>
  <c r="L142" i="13"/>
  <c r="AD142" i="13"/>
  <c r="L144" i="13"/>
  <c r="AE144" i="13" s="1"/>
  <c r="AD144" i="13"/>
  <c r="AD148" i="13"/>
  <c r="L150" i="13"/>
  <c r="AE150" i="13" s="1"/>
  <c r="AD150" i="13"/>
  <c r="L154" i="13"/>
  <c r="AE154" i="13" s="1"/>
  <c r="AD154" i="13"/>
  <c r="L156" i="13"/>
  <c r="AE156" i="13" s="1"/>
  <c r="AD156" i="13"/>
  <c r="L158" i="13"/>
  <c r="AE158" i="13" s="1"/>
  <c r="AD158" i="13"/>
  <c r="L160" i="13"/>
  <c r="AE160" i="13" s="1"/>
  <c r="AD160" i="13"/>
  <c r="L162" i="13"/>
  <c r="AE162" i="13" s="1"/>
  <c r="AD162" i="13"/>
  <c r="L164" i="13"/>
  <c r="AE164" i="13" s="1"/>
  <c r="AD164" i="13"/>
  <c r="L166" i="13"/>
  <c r="AE166" i="13" s="1"/>
  <c r="AD166" i="13"/>
  <c r="L168" i="13"/>
  <c r="AE168" i="13" s="1"/>
  <c r="AD168" i="13"/>
  <c r="L170" i="13"/>
  <c r="AE170" i="13" s="1"/>
  <c r="AD170" i="13"/>
  <c r="L172" i="13"/>
  <c r="AE172" i="13" s="1"/>
  <c r="AD172" i="13"/>
  <c r="L174" i="13"/>
  <c r="AE174" i="13" s="1"/>
  <c r="AD174" i="13"/>
  <c r="L176" i="13"/>
  <c r="AE176" i="13" s="1"/>
  <c r="AD176" i="13"/>
  <c r="L178" i="13"/>
  <c r="AE178" i="13" s="1"/>
  <c r="AD178" i="13"/>
  <c r="L180" i="13"/>
  <c r="AE180" i="13" s="1"/>
  <c r="AD180" i="13"/>
  <c r="L182" i="13"/>
  <c r="AE182" i="13" s="1"/>
  <c r="AD182" i="13"/>
  <c r="L184" i="13"/>
  <c r="AE184" i="13" s="1"/>
  <c r="AD184" i="13"/>
  <c r="L186" i="13"/>
  <c r="AE186" i="13" s="1"/>
  <c r="AD186" i="13"/>
  <c r="L188" i="13"/>
  <c r="AE188" i="13" s="1"/>
  <c r="AD188" i="13"/>
  <c r="L54" i="13"/>
  <c r="AE54" i="13" s="1"/>
  <c r="AD54" i="13"/>
  <c r="F54" i="13"/>
  <c r="AD64" i="13"/>
  <c r="F64" i="13"/>
  <c r="K106" i="13"/>
  <c r="M106" i="13" s="1"/>
  <c r="D106" i="13"/>
  <c r="AF119" i="13"/>
  <c r="AF125" i="13"/>
  <c r="AF77" i="13"/>
  <c r="AF89" i="13"/>
  <c r="AF103" i="13"/>
  <c r="AD114" i="13"/>
  <c r="AF133" i="13"/>
  <c r="AF141" i="13"/>
  <c r="AF151" i="13"/>
  <c r="AF159" i="13"/>
  <c r="AF167" i="13"/>
  <c r="AF173" i="13"/>
  <c r="AF177" i="13"/>
  <c r="AF183" i="13"/>
  <c r="D50" i="34"/>
  <c r="AD49" i="13"/>
  <c r="F49" i="13"/>
  <c r="G50" i="34" s="1"/>
  <c r="AD51" i="13"/>
  <c r="F51" i="13"/>
  <c r="AD53" i="13"/>
  <c r="F53" i="13"/>
  <c r="L55" i="13"/>
  <c r="AD55" i="13"/>
  <c r="F55" i="13"/>
  <c r="L57" i="13"/>
  <c r="AD57" i="13"/>
  <c r="F57" i="13"/>
  <c r="AD59" i="13"/>
  <c r="F59" i="13"/>
  <c r="AD61" i="13"/>
  <c r="F61" i="13"/>
  <c r="AD63" i="13"/>
  <c r="F63" i="13"/>
  <c r="AD65" i="13"/>
  <c r="F65" i="13"/>
  <c r="AD67" i="13"/>
  <c r="F67" i="13"/>
  <c r="L69" i="13"/>
  <c r="AD69" i="13"/>
  <c r="F69" i="13"/>
  <c r="AD71" i="13"/>
  <c r="F71" i="13"/>
  <c r="L73" i="13"/>
  <c r="AD73" i="13"/>
  <c r="AF104" i="13"/>
  <c r="V104" i="13"/>
  <c r="K107" i="13"/>
  <c r="D107" i="13"/>
  <c r="K111" i="13"/>
  <c r="D111" i="13"/>
  <c r="K113" i="13"/>
  <c r="D113" i="13"/>
  <c r="D6" i="34"/>
  <c r="AD48" i="13"/>
  <c r="AD58" i="13"/>
  <c r="F58" i="13"/>
  <c r="AD68" i="13"/>
  <c r="F68" i="13"/>
  <c r="AF115" i="13"/>
  <c r="AF123" i="13"/>
  <c r="L6" i="34"/>
  <c r="V48" i="13"/>
  <c r="AF95" i="13"/>
  <c r="AD110" i="13"/>
  <c r="AF127" i="13"/>
  <c r="AF137" i="13"/>
  <c r="AF145" i="13"/>
  <c r="AF153" i="13"/>
  <c r="AF163" i="13"/>
  <c r="AF185" i="13"/>
  <c r="AD75" i="13"/>
  <c r="K77" i="13"/>
  <c r="D77" i="13"/>
  <c r="AF78" i="13"/>
  <c r="AF80" i="13"/>
  <c r="AF82" i="13"/>
  <c r="AF84" i="13"/>
  <c r="AF86" i="13"/>
  <c r="AF88" i="13"/>
  <c r="AF90" i="13"/>
  <c r="AF92" i="13"/>
  <c r="AF94" i="13"/>
  <c r="AF96" i="13"/>
  <c r="AF98" i="13"/>
  <c r="AF100" i="13"/>
  <c r="AF102" i="13"/>
  <c r="AD105" i="13"/>
  <c r="D105" i="13"/>
  <c r="L107" i="13"/>
  <c r="AE107" i="13" s="1"/>
  <c r="AD107" i="13"/>
  <c r="L109" i="13"/>
  <c r="AD109" i="13"/>
  <c r="AD111" i="13"/>
  <c r="AD113" i="13"/>
  <c r="D115" i="13"/>
  <c r="D117" i="13"/>
  <c r="D119" i="13"/>
  <c r="K121" i="13"/>
  <c r="D121" i="13"/>
  <c r="D123" i="13"/>
  <c r="D125" i="13"/>
  <c r="D127" i="13"/>
  <c r="AF128" i="13"/>
  <c r="AF130" i="13"/>
  <c r="AF132" i="13"/>
  <c r="AF134" i="13"/>
  <c r="AF136" i="13"/>
  <c r="AF138" i="13"/>
  <c r="AF140" i="13"/>
  <c r="AF142" i="13"/>
  <c r="AF144" i="13"/>
  <c r="AF146" i="13"/>
  <c r="AF148" i="13"/>
  <c r="AF150" i="13"/>
  <c r="AF152" i="13"/>
  <c r="AF154" i="13"/>
  <c r="AF156" i="13"/>
  <c r="AF158" i="13"/>
  <c r="AF160" i="13"/>
  <c r="AF162" i="13"/>
  <c r="AF164" i="13"/>
  <c r="AF166" i="13"/>
  <c r="AF168" i="13"/>
  <c r="AF170" i="13"/>
  <c r="AF172" i="13"/>
  <c r="AF174" i="13"/>
  <c r="AF176" i="13"/>
  <c r="AF178" i="13"/>
  <c r="AF180" i="13"/>
  <c r="AF182" i="13"/>
  <c r="AF184" i="13"/>
  <c r="AF186" i="13"/>
  <c r="AF188" i="13"/>
  <c r="C6" i="34"/>
  <c r="B6" i="34" s="1"/>
  <c r="D48" i="13"/>
  <c r="D54" i="13"/>
  <c r="E54" i="13"/>
  <c r="E58" i="13"/>
  <c r="G58" i="13" s="1"/>
  <c r="D58" i="13"/>
  <c r="K64" i="13"/>
  <c r="D64" i="13"/>
  <c r="E64" i="13"/>
  <c r="G64" i="13" s="1"/>
  <c r="D70" i="13"/>
  <c r="E70" i="13"/>
  <c r="AD50" i="13"/>
  <c r="F50" i="13"/>
  <c r="AD60" i="13"/>
  <c r="F60" i="13"/>
  <c r="AD70" i="13"/>
  <c r="F70" i="13"/>
  <c r="AF117" i="13"/>
  <c r="AF79" i="13"/>
  <c r="AF85" i="13"/>
  <c r="AF97" i="13"/>
  <c r="AF101" i="13"/>
  <c r="AD112" i="13"/>
  <c r="AF131" i="13"/>
  <c r="AF139" i="13"/>
  <c r="AF147" i="13"/>
  <c r="AF157" i="13"/>
  <c r="AF161" i="13"/>
  <c r="AF171" i="13"/>
  <c r="AF175" i="13"/>
  <c r="AF179" i="13"/>
  <c r="AF181" i="13"/>
  <c r="AF187" i="13"/>
  <c r="AF49" i="13"/>
  <c r="AF51" i="13"/>
  <c r="AF53" i="13"/>
  <c r="AF55" i="13"/>
  <c r="AF57" i="13"/>
  <c r="AF73" i="13"/>
  <c r="V75" i="13"/>
  <c r="D79" i="13"/>
  <c r="D81" i="13"/>
  <c r="K83" i="13"/>
  <c r="D83" i="13"/>
  <c r="D85" i="13"/>
  <c r="D87" i="13"/>
  <c r="D89" i="13"/>
  <c r="D91" i="13"/>
  <c r="K93" i="13"/>
  <c r="D93" i="13"/>
  <c r="K95" i="13"/>
  <c r="D95" i="13"/>
  <c r="K97" i="13"/>
  <c r="D97" i="13"/>
  <c r="D99" i="13"/>
  <c r="D101" i="13"/>
  <c r="D103" i="13"/>
  <c r="V105" i="13"/>
  <c r="V107" i="13"/>
  <c r="V109" i="13"/>
  <c r="V111" i="13"/>
  <c r="V113" i="13"/>
  <c r="L115" i="13"/>
  <c r="AD115" i="13"/>
  <c r="L119" i="13"/>
  <c r="AD119" i="13"/>
  <c r="D129" i="13"/>
  <c r="K131" i="13"/>
  <c r="M131" i="13" s="1"/>
  <c r="D131" i="13"/>
  <c r="K133" i="13"/>
  <c r="M133" i="13" s="1"/>
  <c r="D133" i="13"/>
  <c r="K135" i="13"/>
  <c r="D135" i="13"/>
  <c r="D137" i="13"/>
  <c r="D139" i="13"/>
  <c r="D141" i="13"/>
  <c r="K143" i="13"/>
  <c r="D143" i="13"/>
  <c r="K145" i="13"/>
  <c r="D145" i="13"/>
  <c r="K147" i="13"/>
  <c r="D147" i="13"/>
  <c r="D149" i="13"/>
  <c r="K151" i="13"/>
  <c r="M151" i="13" s="1"/>
  <c r="D151" i="13"/>
  <c r="K153" i="13"/>
  <c r="D153" i="13"/>
  <c r="K155" i="13"/>
  <c r="D155" i="13"/>
  <c r="K157" i="13"/>
  <c r="D157" i="13"/>
  <c r="K159" i="13"/>
  <c r="M159" i="13" s="1"/>
  <c r="D159" i="13"/>
  <c r="K161" i="13"/>
  <c r="M161" i="13" s="1"/>
  <c r="D161" i="13"/>
  <c r="K163" i="13"/>
  <c r="D163" i="13"/>
  <c r="K165" i="13"/>
  <c r="D165" i="13"/>
  <c r="K167" i="13"/>
  <c r="M167" i="13" s="1"/>
  <c r="D167" i="13"/>
  <c r="K169" i="13"/>
  <c r="D169" i="13"/>
  <c r="K171" i="13"/>
  <c r="D171" i="13"/>
  <c r="K173" i="13"/>
  <c r="D173" i="13"/>
  <c r="K175" i="13"/>
  <c r="M175" i="13" s="1"/>
  <c r="D175" i="13"/>
  <c r="K177" i="13"/>
  <c r="M177" i="13" s="1"/>
  <c r="D177" i="13"/>
  <c r="K179" i="13"/>
  <c r="D179" i="13"/>
  <c r="K181" i="13"/>
  <c r="D181" i="13"/>
  <c r="K183" i="13"/>
  <c r="M183" i="13" s="1"/>
  <c r="D183" i="13"/>
  <c r="K185" i="13"/>
  <c r="D185" i="13"/>
  <c r="K187" i="13"/>
  <c r="D187" i="13"/>
  <c r="A22" i="24"/>
  <c r="A30" i="2"/>
  <c r="A20" i="16"/>
  <c r="Q31" i="34"/>
  <c r="N42" i="34"/>
  <c r="E37" i="33"/>
  <c r="D38" i="33"/>
  <c r="K33" i="34"/>
  <c r="B29" i="33"/>
  <c r="F37" i="33"/>
  <c r="F38" i="33" s="1"/>
  <c r="K69" i="13"/>
  <c r="M69" i="13" s="1"/>
  <c r="E74" i="13"/>
  <c r="K73" i="13"/>
  <c r="M73" i="13" s="1"/>
  <c r="W75" i="13"/>
  <c r="Y75" i="13" s="1"/>
  <c r="H77" i="13"/>
  <c r="E79" i="13"/>
  <c r="K78" i="13"/>
  <c r="M78" i="13" s="1"/>
  <c r="E81" i="13"/>
  <c r="K80" i="13"/>
  <c r="E85" i="13"/>
  <c r="K84" i="13"/>
  <c r="E89" i="13"/>
  <c r="G89" i="13" s="1"/>
  <c r="K88" i="13"/>
  <c r="X92" i="13"/>
  <c r="X96" i="13"/>
  <c r="W104" i="13"/>
  <c r="F106" i="13"/>
  <c r="L105" i="13"/>
  <c r="E110" i="13"/>
  <c r="K109" i="13"/>
  <c r="M109" i="13" s="1"/>
  <c r="F117" i="13"/>
  <c r="L116" i="13"/>
  <c r="F119" i="13"/>
  <c r="L118" i="13"/>
  <c r="E123" i="13"/>
  <c r="K122" i="13"/>
  <c r="M122" i="13" s="1"/>
  <c r="E125" i="13"/>
  <c r="K124" i="13"/>
  <c r="M124" i="13" s="1"/>
  <c r="X126" i="13"/>
  <c r="F130" i="13"/>
  <c r="L129" i="13"/>
  <c r="F141" i="13"/>
  <c r="L140" i="13"/>
  <c r="X146" i="13"/>
  <c r="X148" i="13"/>
  <c r="X150" i="13"/>
  <c r="AA150" i="13" s="1"/>
  <c r="X152" i="13"/>
  <c r="K59" i="13"/>
  <c r="L59" i="13"/>
  <c r="AE59" i="13" s="1"/>
  <c r="L64" i="13"/>
  <c r="AE64" i="13" s="1"/>
  <c r="L67" i="13"/>
  <c r="L71" i="13"/>
  <c r="AE71" i="13" s="1"/>
  <c r="X75" i="13"/>
  <c r="F79" i="13"/>
  <c r="I79" i="13" s="1"/>
  <c r="L78" i="13"/>
  <c r="F81" i="13"/>
  <c r="L80" i="13"/>
  <c r="AE80" i="13" s="1"/>
  <c r="F83" i="13"/>
  <c r="L82" i="13"/>
  <c r="AE82" i="13" s="1"/>
  <c r="F85" i="13"/>
  <c r="L84" i="13"/>
  <c r="AE84" i="13" s="1"/>
  <c r="F87" i="13"/>
  <c r="I87" i="13" s="1"/>
  <c r="L86" i="13"/>
  <c r="AE86" i="13" s="1"/>
  <c r="F89" i="13"/>
  <c r="L88" i="13"/>
  <c r="AE88" i="13" s="1"/>
  <c r="E93" i="13"/>
  <c r="K92" i="13"/>
  <c r="E95" i="13"/>
  <c r="G95" i="13" s="1"/>
  <c r="K94" i="13"/>
  <c r="E97" i="13"/>
  <c r="G97" i="13" s="1"/>
  <c r="K96" i="13"/>
  <c r="E99" i="13"/>
  <c r="K98" i="13"/>
  <c r="E101" i="13"/>
  <c r="K100" i="13"/>
  <c r="E103" i="13"/>
  <c r="G103" i="13" s="1"/>
  <c r="K102" i="13"/>
  <c r="W115" i="13"/>
  <c r="Y115" i="13" s="1"/>
  <c r="W117" i="13"/>
  <c r="W119" i="13"/>
  <c r="F121" i="13"/>
  <c r="F123" i="13"/>
  <c r="L122" i="13"/>
  <c r="F125" i="13"/>
  <c r="I125" i="13" s="1"/>
  <c r="L124" i="13"/>
  <c r="W128" i="13"/>
  <c r="Y128" i="13" s="1"/>
  <c r="F132" i="13"/>
  <c r="L131" i="13"/>
  <c r="F134" i="13"/>
  <c r="L133" i="13"/>
  <c r="X137" i="13"/>
  <c r="F143" i="13"/>
  <c r="K61" i="13"/>
  <c r="F74" i="13"/>
  <c r="I74" i="13" s="1"/>
  <c r="K75" i="13"/>
  <c r="X77" i="13"/>
  <c r="W81" i="13"/>
  <c r="W85" i="13"/>
  <c r="W89" i="13"/>
  <c r="F91" i="13"/>
  <c r="I91" i="13" s="1"/>
  <c r="L92" i="13"/>
  <c r="AE92" i="13" s="1"/>
  <c r="L94" i="13"/>
  <c r="AE94" i="13" s="1"/>
  <c r="L96" i="13"/>
  <c r="AE96" i="13" s="1"/>
  <c r="L98" i="13"/>
  <c r="AE98" i="13" s="1"/>
  <c r="L100" i="13"/>
  <c r="AE100" i="13" s="1"/>
  <c r="L102" i="13"/>
  <c r="AE102" i="13" s="1"/>
  <c r="F110" i="13"/>
  <c r="L111" i="13"/>
  <c r="AE111" i="13" s="1"/>
  <c r="F114" i="13"/>
  <c r="L113" i="13"/>
  <c r="AE113" i="13" s="1"/>
  <c r="W121" i="13"/>
  <c r="E127" i="13"/>
  <c r="K126" i="13"/>
  <c r="X128" i="13"/>
  <c r="F136" i="13"/>
  <c r="L135" i="13"/>
  <c r="AE135" i="13" s="1"/>
  <c r="K137" i="13"/>
  <c r="K139" i="13"/>
  <c r="M139" i="13" s="1"/>
  <c r="X141" i="13"/>
  <c r="F145" i="13"/>
  <c r="F147" i="13"/>
  <c r="L146" i="13"/>
  <c r="AE146" i="13" s="1"/>
  <c r="F149" i="13"/>
  <c r="L148" i="13"/>
  <c r="AE148" i="13" s="1"/>
  <c r="F153" i="13"/>
  <c r="L152" i="13"/>
  <c r="AE152" i="13" s="1"/>
  <c r="K48" i="13"/>
  <c r="K50" i="13"/>
  <c r="K52" i="13"/>
  <c r="K54" i="13"/>
  <c r="K56" i="13"/>
  <c r="K58" i="13"/>
  <c r="M58" i="13" s="1"/>
  <c r="L61" i="13"/>
  <c r="AE61" i="13" s="1"/>
  <c r="K66" i="13"/>
  <c r="M66" i="13" s="1"/>
  <c r="F76" i="13"/>
  <c r="L75" i="13"/>
  <c r="AE75" i="13" s="1"/>
  <c r="X79" i="13"/>
  <c r="X81" i="13"/>
  <c r="X85" i="13"/>
  <c r="X89" i="13"/>
  <c r="AA89" i="13" s="1"/>
  <c r="W93" i="13"/>
  <c r="W95" i="13"/>
  <c r="Y95" i="13" s="1"/>
  <c r="W97" i="13"/>
  <c r="W99" i="13"/>
  <c r="W101" i="13"/>
  <c r="W103" i="13"/>
  <c r="K104" i="13"/>
  <c r="X106" i="13"/>
  <c r="W110" i="13"/>
  <c r="W114" i="13"/>
  <c r="Y114" i="13" s="1"/>
  <c r="K115" i="13"/>
  <c r="M115" i="13" s="1"/>
  <c r="K117" i="13"/>
  <c r="M117" i="13" s="1"/>
  <c r="K119" i="13"/>
  <c r="M119" i="13" s="1"/>
  <c r="F127" i="13"/>
  <c r="L126" i="13"/>
  <c r="AE126" i="13" s="1"/>
  <c r="K128" i="13"/>
  <c r="M128" i="13" s="1"/>
  <c r="X130" i="13"/>
  <c r="X132" i="13"/>
  <c r="F138" i="13"/>
  <c r="L137" i="13"/>
  <c r="AE137" i="13" s="1"/>
  <c r="F140" i="13"/>
  <c r="L139" i="13"/>
  <c r="K141" i="13"/>
  <c r="W149" i="13"/>
  <c r="Y149" i="13" s="1"/>
  <c r="L51" i="13"/>
  <c r="L52" i="13"/>
  <c r="AE52" i="13" s="1"/>
  <c r="L58" i="13"/>
  <c r="L66" i="13"/>
  <c r="K68" i="13"/>
  <c r="K70" i="13"/>
  <c r="E73" i="13"/>
  <c r="K72" i="13"/>
  <c r="M72" i="13" s="1"/>
  <c r="W76" i="13"/>
  <c r="F78" i="13"/>
  <c r="G78" i="13" s="1"/>
  <c r="L77" i="13"/>
  <c r="AE77" i="13" s="1"/>
  <c r="E80" i="13"/>
  <c r="G80" i="13" s="1"/>
  <c r="K79" i="13"/>
  <c r="E82" i="13"/>
  <c r="K81" i="13"/>
  <c r="E86" i="13"/>
  <c r="G86" i="13" s="1"/>
  <c r="K85" i="13"/>
  <c r="E88" i="13"/>
  <c r="G88" i="13" s="1"/>
  <c r="K87" i="13"/>
  <c r="M87" i="13" s="1"/>
  <c r="E90" i="13"/>
  <c r="G90" i="13" s="1"/>
  <c r="K89" i="13"/>
  <c r="E109" i="13"/>
  <c r="K108" i="13"/>
  <c r="M108" i="13" s="1"/>
  <c r="X110" i="13"/>
  <c r="X112" i="13"/>
  <c r="F118" i="13"/>
  <c r="L117" i="13"/>
  <c r="E124" i="13"/>
  <c r="K123" i="13"/>
  <c r="E126" i="13"/>
  <c r="K125" i="13"/>
  <c r="F129" i="13"/>
  <c r="I129" i="13" s="1"/>
  <c r="L128" i="13"/>
  <c r="X136" i="13"/>
  <c r="F142" i="13"/>
  <c r="L141" i="13"/>
  <c r="AE141" i="13" s="1"/>
  <c r="X145" i="13"/>
  <c r="X149" i="13"/>
  <c r="X151" i="13"/>
  <c r="L53" i="13"/>
  <c r="L50" i="13"/>
  <c r="AE50" i="13" s="1"/>
  <c r="L63" i="13"/>
  <c r="AE63" i="13" s="1"/>
  <c r="K65" i="13"/>
  <c r="L68" i="13"/>
  <c r="AE68" i="13" s="1"/>
  <c r="L70" i="13"/>
  <c r="AE70" i="13" s="1"/>
  <c r="F73" i="13"/>
  <c r="L72" i="13"/>
  <c r="Z74" i="13"/>
  <c r="X76" i="13"/>
  <c r="H78" i="13"/>
  <c r="F80" i="13"/>
  <c r="L79" i="13"/>
  <c r="AE79" i="13" s="1"/>
  <c r="F82" i="13"/>
  <c r="L81" i="13"/>
  <c r="AE81" i="13" s="1"/>
  <c r="F84" i="13"/>
  <c r="L83" i="13"/>
  <c r="AE83" i="13" s="1"/>
  <c r="F86" i="13"/>
  <c r="L85" i="13"/>
  <c r="AE85" i="13" s="1"/>
  <c r="F90" i="13"/>
  <c r="L89" i="13"/>
  <c r="AE89" i="13" s="1"/>
  <c r="E92" i="13"/>
  <c r="K91" i="13"/>
  <c r="E100" i="13"/>
  <c r="K99" i="13"/>
  <c r="M99" i="13" s="1"/>
  <c r="E102" i="13"/>
  <c r="K101" i="13"/>
  <c r="M101" i="13" s="1"/>
  <c r="E111" i="13"/>
  <c r="K110" i="13"/>
  <c r="E113" i="13"/>
  <c r="K112" i="13"/>
  <c r="X114" i="13"/>
  <c r="W116" i="13"/>
  <c r="Y116" i="13" s="1"/>
  <c r="W118" i="13"/>
  <c r="W120" i="13"/>
  <c r="Y120" i="13" s="1"/>
  <c r="F122" i="13"/>
  <c r="L121" i="13"/>
  <c r="AE121" i="13" s="1"/>
  <c r="F124" i="13"/>
  <c r="L123" i="13"/>
  <c r="AE123" i="13" s="1"/>
  <c r="L125" i="13"/>
  <c r="AE125" i="13" s="1"/>
  <c r="F131" i="13"/>
  <c r="I131" i="13" s="1"/>
  <c r="L130" i="13"/>
  <c r="F133" i="13"/>
  <c r="L132" i="13"/>
  <c r="AE132" i="13" s="1"/>
  <c r="L134" i="13"/>
  <c r="AE134" i="13" s="1"/>
  <c r="K136" i="13"/>
  <c r="M136" i="13" s="1"/>
  <c r="X138" i="13"/>
  <c r="F144" i="13"/>
  <c r="L143" i="13"/>
  <c r="AE143" i="13" s="1"/>
  <c r="E150" i="13"/>
  <c r="K149" i="13"/>
  <c r="M149" i="13" s="1"/>
  <c r="L48" i="13"/>
  <c r="AE48" i="13" s="1"/>
  <c r="L56" i="13"/>
  <c r="AE56" i="13" s="1"/>
  <c r="K62" i="13"/>
  <c r="L65" i="13"/>
  <c r="AE65" i="13" s="1"/>
  <c r="E75" i="13"/>
  <c r="K74" i="13"/>
  <c r="M74" i="13" s="1"/>
  <c r="K76" i="13"/>
  <c r="W80" i="13"/>
  <c r="Y80" i="13" s="1"/>
  <c r="W82" i="13"/>
  <c r="W84" i="13"/>
  <c r="W86" i="13"/>
  <c r="Y86" i="13" s="1"/>
  <c r="W88" i="13"/>
  <c r="W90" i="13"/>
  <c r="F92" i="13"/>
  <c r="L91" i="13"/>
  <c r="AE91" i="13" s="1"/>
  <c r="L93" i="13"/>
  <c r="AE93" i="13" s="1"/>
  <c r="L95" i="13"/>
  <c r="AE95" i="13" s="1"/>
  <c r="L97" i="13"/>
  <c r="AE97" i="13" s="1"/>
  <c r="L99" i="13"/>
  <c r="L101" i="13"/>
  <c r="E104" i="13"/>
  <c r="K103" i="13"/>
  <c r="M103" i="13" s="1"/>
  <c r="X105" i="13"/>
  <c r="W109" i="13"/>
  <c r="Z109" i="13" s="1"/>
  <c r="F111" i="13"/>
  <c r="L110" i="13"/>
  <c r="AE110" i="13" s="1"/>
  <c r="F113" i="13"/>
  <c r="L112" i="13"/>
  <c r="AE112" i="13" s="1"/>
  <c r="E115" i="13"/>
  <c r="G115" i="13" s="1"/>
  <c r="K114" i="13"/>
  <c r="M114" i="13" s="1"/>
  <c r="X116" i="13"/>
  <c r="W122" i="13"/>
  <c r="Y122" i="13" s="1"/>
  <c r="W124" i="13"/>
  <c r="F126" i="13"/>
  <c r="O126" i="13" s="1"/>
  <c r="E128" i="13"/>
  <c r="K127" i="13"/>
  <c r="X129" i="13"/>
  <c r="F135" i="13"/>
  <c r="L136" i="13"/>
  <c r="K138" i="13"/>
  <c r="M138" i="13" s="1"/>
  <c r="X140" i="13"/>
  <c r="F146" i="13"/>
  <c r="L145" i="13"/>
  <c r="AE145" i="13" s="1"/>
  <c r="L147" i="13"/>
  <c r="AE147" i="13" s="1"/>
  <c r="L149" i="13"/>
  <c r="F152" i="13"/>
  <c r="O152" i="13" s="1"/>
  <c r="L151" i="13"/>
  <c r="L153" i="13"/>
  <c r="AE153" i="13" s="1"/>
  <c r="L155" i="13"/>
  <c r="AE155" i="13" s="1"/>
  <c r="L157" i="13"/>
  <c r="AE157" i="13" s="1"/>
  <c r="L159" i="13"/>
  <c r="L161" i="13"/>
  <c r="L163" i="13"/>
  <c r="AE163" i="13" s="1"/>
  <c r="L165" i="13"/>
  <c r="AE165" i="13" s="1"/>
  <c r="L167" i="13"/>
  <c r="L169" i="13"/>
  <c r="AE169" i="13" s="1"/>
  <c r="L171" i="13"/>
  <c r="AE171" i="13" s="1"/>
  <c r="L173" i="13"/>
  <c r="AE173" i="13" s="1"/>
  <c r="L175" i="13"/>
  <c r="L177" i="13"/>
  <c r="L179" i="13"/>
  <c r="AE179" i="13" s="1"/>
  <c r="L181" i="13"/>
  <c r="AE181" i="13" s="1"/>
  <c r="L183" i="13"/>
  <c r="L185" i="13"/>
  <c r="AE185" i="13" s="1"/>
  <c r="L187" i="13"/>
  <c r="AE187" i="13" s="1"/>
  <c r="L49" i="13"/>
  <c r="AE49" i="13" s="1"/>
  <c r="L60" i="13"/>
  <c r="AE60" i="13" s="1"/>
  <c r="K49" i="13"/>
  <c r="K51" i="13"/>
  <c r="M51" i="13" s="1"/>
  <c r="K53" i="13"/>
  <c r="M53" i="13" s="1"/>
  <c r="K55" i="13"/>
  <c r="M55" i="13" s="1"/>
  <c r="K57" i="13"/>
  <c r="M57" i="13" s="1"/>
  <c r="L62" i="13"/>
  <c r="AE62" i="13" s="1"/>
  <c r="F75" i="13"/>
  <c r="O75" i="13" s="1"/>
  <c r="L74" i="13"/>
  <c r="F77" i="13"/>
  <c r="O77" i="13" s="1"/>
  <c r="L76" i="13"/>
  <c r="AE76" i="13" s="1"/>
  <c r="X80" i="13"/>
  <c r="X82" i="13"/>
  <c r="X84" i="13"/>
  <c r="X86" i="13"/>
  <c r="X90" i="13"/>
  <c r="W92" i="13"/>
  <c r="Y92" i="13" s="1"/>
  <c r="W94" i="13"/>
  <c r="W96" i="13"/>
  <c r="Y96" i="13" s="1"/>
  <c r="W98" i="13"/>
  <c r="Y98" i="13" s="1"/>
  <c r="W100" i="13"/>
  <c r="W102" i="13"/>
  <c r="Y102" i="13" s="1"/>
  <c r="L103" i="13"/>
  <c r="K105" i="13"/>
  <c r="W111" i="13"/>
  <c r="W113" i="13"/>
  <c r="L114" i="13"/>
  <c r="E117" i="13"/>
  <c r="K116" i="13"/>
  <c r="M116" i="13" s="1"/>
  <c r="E119" i="13"/>
  <c r="G119" i="13" s="1"/>
  <c r="K118" i="13"/>
  <c r="M118" i="13" s="1"/>
  <c r="E121" i="13"/>
  <c r="K120" i="13"/>
  <c r="M120" i="13" s="1"/>
  <c r="X122" i="13"/>
  <c r="X124" i="13"/>
  <c r="AA124" i="13" s="1"/>
  <c r="W126" i="13"/>
  <c r="Y126" i="13" s="1"/>
  <c r="L127" i="13"/>
  <c r="AE127" i="13" s="1"/>
  <c r="K129" i="13"/>
  <c r="M129" i="13" s="1"/>
  <c r="X133" i="13"/>
  <c r="F137" i="13"/>
  <c r="O137" i="13" s="1"/>
  <c r="F139" i="13"/>
  <c r="L138" i="13"/>
  <c r="K140" i="13"/>
  <c r="M140" i="13" s="1"/>
  <c r="K142" i="13"/>
  <c r="M142" i="13" s="1"/>
  <c r="X144" i="13"/>
  <c r="W150" i="13"/>
  <c r="Y150" i="13" s="1"/>
  <c r="H75" i="13"/>
  <c r="H81" i="13"/>
  <c r="Z85" i="13"/>
  <c r="Z97" i="13"/>
  <c r="Z99" i="13"/>
  <c r="H111" i="13"/>
  <c r="AA112" i="13"/>
  <c r="Z124" i="13"/>
  <c r="AA128" i="13"/>
  <c r="I137" i="13"/>
  <c r="AA145" i="13"/>
  <c r="I153" i="13"/>
  <c r="Z94" i="13"/>
  <c r="I113" i="13"/>
  <c r="Z118" i="13"/>
  <c r="H124" i="13"/>
  <c r="AA137" i="13"/>
  <c r="AA151" i="13"/>
  <c r="I77" i="13"/>
  <c r="I86" i="13"/>
  <c r="Z113" i="13"/>
  <c r="I124" i="13"/>
  <c r="I80" i="13"/>
  <c r="H102" i="13"/>
  <c r="I110" i="13"/>
  <c r="H121" i="13"/>
  <c r="I126" i="13"/>
  <c r="I138" i="13"/>
  <c r="AA86" i="13"/>
  <c r="I117" i="13"/>
  <c r="AA141" i="13"/>
  <c r="H92" i="13"/>
  <c r="I132" i="13"/>
  <c r="W78" i="13"/>
  <c r="X94" i="13"/>
  <c r="X100" i="13"/>
  <c r="X109" i="13"/>
  <c r="X135" i="13"/>
  <c r="X143" i="13"/>
  <c r="AA148" i="13"/>
  <c r="I75" i="13"/>
  <c r="X78" i="13"/>
  <c r="W79" i="13"/>
  <c r="Y79" i="13" s="1"/>
  <c r="Z100" i="13"/>
  <c r="AA106" i="13"/>
  <c r="X120" i="13"/>
  <c r="X134" i="13"/>
  <c r="X142" i="13"/>
  <c r="W148" i="13"/>
  <c r="Y148" i="13" s="1"/>
  <c r="X98" i="13"/>
  <c r="Z119" i="13"/>
  <c r="H123" i="13"/>
  <c r="Z98" i="13"/>
  <c r="X118" i="13"/>
  <c r="X74" i="13"/>
  <c r="Y74" i="13" s="1"/>
  <c r="Z76" i="13"/>
  <c r="H79" i="13"/>
  <c r="X104" i="13"/>
  <c r="H113" i="13"/>
  <c r="J113" i="13" s="1"/>
  <c r="Z117" i="13"/>
  <c r="X131" i="13"/>
  <c r="X139" i="13"/>
  <c r="X147" i="13"/>
  <c r="I128" i="13"/>
  <c r="AA130" i="13"/>
  <c r="I135" i="13"/>
  <c r="AA138" i="13"/>
  <c r="I143" i="13"/>
  <c r="I73" i="13"/>
  <c r="X88" i="13"/>
  <c r="X102" i="13"/>
  <c r="X107" i="13"/>
  <c r="W77" i="13"/>
  <c r="Y77" i="13" s="1"/>
  <c r="W83" i="13"/>
  <c r="Z82" i="13"/>
  <c r="E87" i="13"/>
  <c r="X103" i="13"/>
  <c r="W112" i="13"/>
  <c r="Y112" i="13" s="1"/>
  <c r="H82" i="13"/>
  <c r="F88" i="13"/>
  <c r="W91" i="13"/>
  <c r="Z90" i="13"/>
  <c r="X101" i="13"/>
  <c r="W123" i="13"/>
  <c r="X83" i="13"/>
  <c r="E72" i="13"/>
  <c r="E76" i="13"/>
  <c r="G76" i="13" s="1"/>
  <c r="E84" i="13"/>
  <c r="G84" i="13" s="1"/>
  <c r="X91" i="13"/>
  <c r="X93" i="13"/>
  <c r="X95" i="13"/>
  <c r="X97" i="13"/>
  <c r="X99" i="13"/>
  <c r="E83" i="13"/>
  <c r="G83" i="13" s="1"/>
  <c r="H90" i="13"/>
  <c r="W106" i="13"/>
  <c r="W87" i="13"/>
  <c r="Y87" i="13" s="1"/>
  <c r="Z86" i="13"/>
  <c r="AB86" i="13" s="1"/>
  <c r="E118" i="13"/>
  <c r="X87" i="13"/>
  <c r="E91" i="13"/>
  <c r="E94" i="13"/>
  <c r="H93" i="13"/>
  <c r="E96" i="13"/>
  <c r="H95" i="13"/>
  <c r="E98" i="13"/>
  <c r="F108" i="13"/>
  <c r="F94" i="13"/>
  <c r="F96" i="13"/>
  <c r="F116" i="13"/>
  <c r="F98" i="13"/>
  <c r="F100" i="13"/>
  <c r="F102" i="13"/>
  <c r="F104" i="13"/>
  <c r="F107" i="13"/>
  <c r="E108" i="13"/>
  <c r="G108" i="13" s="1"/>
  <c r="I111" i="13"/>
  <c r="F112" i="13"/>
  <c r="E116" i="13"/>
  <c r="Z121" i="13"/>
  <c r="E105" i="13"/>
  <c r="G105" i="13" s="1"/>
  <c r="I115" i="13"/>
  <c r="E120" i="13"/>
  <c r="W125" i="13"/>
  <c r="Y125" i="13" s="1"/>
  <c r="W127" i="13"/>
  <c r="W107" i="13"/>
  <c r="Y107" i="13" s="1"/>
  <c r="Z111" i="13"/>
  <c r="E122" i="13"/>
  <c r="G122" i="13" s="1"/>
  <c r="E129" i="13"/>
  <c r="F93" i="13"/>
  <c r="F95" i="13"/>
  <c r="F97" i="13"/>
  <c r="F99" i="13"/>
  <c r="F101" i="13"/>
  <c r="F103" i="13"/>
  <c r="F105" i="13"/>
  <c r="E106" i="13"/>
  <c r="G106" i="13" s="1"/>
  <c r="F109" i="13"/>
  <c r="I119" i="13"/>
  <c r="F120" i="13"/>
  <c r="H99" i="13"/>
  <c r="H101" i="13"/>
  <c r="W108" i="13"/>
  <c r="Y108" i="13" s="1"/>
  <c r="E107" i="13"/>
  <c r="G107" i="13" s="1"/>
  <c r="E112" i="13"/>
  <c r="W105" i="13"/>
  <c r="Y105" i="13" s="1"/>
  <c r="AA107" i="13"/>
  <c r="X108" i="13"/>
  <c r="E114" i="13"/>
  <c r="G114" i="13" s="1"/>
  <c r="F150" i="13"/>
  <c r="E154" i="13"/>
  <c r="E156" i="13"/>
  <c r="E158" i="13"/>
  <c r="E160" i="13"/>
  <c r="E162" i="13"/>
  <c r="E164" i="13"/>
  <c r="E166" i="13"/>
  <c r="G166" i="13" s="1"/>
  <c r="E168" i="13"/>
  <c r="E170" i="13"/>
  <c r="E172" i="13"/>
  <c r="E174" i="13"/>
  <c r="E176" i="13"/>
  <c r="E178" i="13"/>
  <c r="E180" i="13"/>
  <c r="E182" i="13"/>
  <c r="G182" i="13" s="1"/>
  <c r="E184" i="13"/>
  <c r="E186" i="13"/>
  <c r="E188" i="13"/>
  <c r="E130" i="13"/>
  <c r="G130" i="13" s="1"/>
  <c r="E131" i="13"/>
  <c r="E132" i="13"/>
  <c r="G132" i="13" s="1"/>
  <c r="E133" i="13"/>
  <c r="E134" i="13"/>
  <c r="G134" i="13" s="1"/>
  <c r="E135" i="13"/>
  <c r="E136" i="13"/>
  <c r="G136" i="13" s="1"/>
  <c r="E137" i="13"/>
  <c r="G137" i="13" s="1"/>
  <c r="E138" i="13"/>
  <c r="G138" i="13" s="1"/>
  <c r="E139" i="13"/>
  <c r="G139" i="13" s="1"/>
  <c r="E140" i="13"/>
  <c r="G140" i="13" s="1"/>
  <c r="E141" i="13"/>
  <c r="G141" i="13" s="1"/>
  <c r="E142" i="13"/>
  <c r="G142" i="13" s="1"/>
  <c r="E143" i="13"/>
  <c r="E144" i="13"/>
  <c r="G144" i="13" s="1"/>
  <c r="E145" i="13"/>
  <c r="G145" i="13" s="1"/>
  <c r="E146" i="13"/>
  <c r="G146" i="13" s="1"/>
  <c r="E147" i="13"/>
  <c r="G147" i="13" s="1"/>
  <c r="F148" i="13"/>
  <c r="W152" i="13"/>
  <c r="Y152" i="13" s="1"/>
  <c r="X111" i="13"/>
  <c r="X113" i="13"/>
  <c r="X115" i="13"/>
  <c r="X117" i="13"/>
  <c r="X119" i="13"/>
  <c r="X121" i="13"/>
  <c r="X123" i="13"/>
  <c r="X125" i="13"/>
  <c r="X127" i="13"/>
  <c r="I147" i="13"/>
  <c r="F151" i="13"/>
  <c r="I127" i="13"/>
  <c r="H127" i="13"/>
  <c r="J127" i="13" s="1"/>
  <c r="W129" i="13"/>
  <c r="Y129" i="13" s="1"/>
  <c r="W130" i="13"/>
  <c r="Y130" i="13" s="1"/>
  <c r="W131" i="13"/>
  <c r="Y131" i="13" s="1"/>
  <c r="W132" i="13"/>
  <c r="W133" i="13"/>
  <c r="Y133" i="13" s="1"/>
  <c r="W134" i="13"/>
  <c r="Y134" i="13" s="1"/>
  <c r="W135" i="13"/>
  <c r="Y135" i="13" s="1"/>
  <c r="W136" i="13"/>
  <c r="W137" i="13"/>
  <c r="Y137" i="13" s="1"/>
  <c r="W138" i="13"/>
  <c r="Y138" i="13" s="1"/>
  <c r="W139" i="13"/>
  <c r="Y139" i="13" s="1"/>
  <c r="W140" i="13"/>
  <c r="Y140" i="13" s="1"/>
  <c r="W141" i="13"/>
  <c r="Y141" i="13" s="1"/>
  <c r="W142" i="13"/>
  <c r="Y142" i="13" s="1"/>
  <c r="W143" i="13"/>
  <c r="Y143" i="13" s="1"/>
  <c r="W144" i="13"/>
  <c r="Y144" i="13" s="1"/>
  <c r="W145" i="13"/>
  <c r="Y145" i="13" s="1"/>
  <c r="W146" i="13"/>
  <c r="W147" i="13"/>
  <c r="Y147" i="13" s="1"/>
  <c r="H128" i="13"/>
  <c r="J128" i="13" s="1"/>
  <c r="E148" i="13"/>
  <c r="AA152" i="13"/>
  <c r="F154" i="13"/>
  <c r="F156" i="13"/>
  <c r="F158" i="13"/>
  <c r="F160" i="13"/>
  <c r="F162" i="13"/>
  <c r="F164" i="13"/>
  <c r="F166" i="13"/>
  <c r="F168" i="13"/>
  <c r="F170" i="13"/>
  <c r="F172" i="13"/>
  <c r="F174" i="13"/>
  <c r="F176" i="13"/>
  <c r="F178" i="13"/>
  <c r="F180" i="13"/>
  <c r="F182" i="13"/>
  <c r="F184" i="13"/>
  <c r="F186" i="13"/>
  <c r="F188" i="13"/>
  <c r="AA149" i="13"/>
  <c r="W151" i="13"/>
  <c r="Y151" i="13" s="1"/>
  <c r="W154" i="13"/>
  <c r="Y154" i="13" s="1"/>
  <c r="W156" i="13"/>
  <c r="W158" i="13"/>
  <c r="W160" i="13"/>
  <c r="W162" i="13"/>
  <c r="W164" i="13"/>
  <c r="W166" i="13"/>
  <c r="Y166" i="13" s="1"/>
  <c r="W168" i="13"/>
  <c r="W170" i="13"/>
  <c r="Y170" i="13" s="1"/>
  <c r="W172" i="13"/>
  <c r="W174" i="13"/>
  <c r="W176" i="13"/>
  <c r="W178" i="13"/>
  <c r="W180" i="13"/>
  <c r="W182" i="13"/>
  <c r="Y182" i="13" s="1"/>
  <c r="W184" i="13"/>
  <c r="W186" i="13"/>
  <c r="Y186" i="13" s="1"/>
  <c r="W188" i="13"/>
  <c r="E153" i="13"/>
  <c r="G153" i="13" s="1"/>
  <c r="X154" i="13"/>
  <c r="X156" i="13"/>
  <c r="X158" i="13"/>
  <c r="X160" i="13"/>
  <c r="X162" i="13"/>
  <c r="X164" i="13"/>
  <c r="X166" i="13"/>
  <c r="X168" i="13"/>
  <c r="X170" i="13"/>
  <c r="X172" i="13"/>
  <c r="X174" i="13"/>
  <c r="X176" i="13"/>
  <c r="X178" i="13"/>
  <c r="X180" i="13"/>
  <c r="X182" i="13"/>
  <c r="X184" i="13"/>
  <c r="X186" i="13"/>
  <c r="X188" i="13"/>
  <c r="I149" i="13"/>
  <c r="E155" i="13"/>
  <c r="E157" i="13"/>
  <c r="G157" i="13" s="1"/>
  <c r="E159" i="13"/>
  <c r="E161" i="13"/>
  <c r="E163" i="13"/>
  <c r="E165" i="13"/>
  <c r="E167" i="13"/>
  <c r="E169" i="13"/>
  <c r="G169" i="13" s="1"/>
  <c r="E171" i="13"/>
  <c r="E173" i="13"/>
  <c r="G173" i="13" s="1"/>
  <c r="E175" i="13"/>
  <c r="E177" i="13"/>
  <c r="E179" i="13"/>
  <c r="E181" i="13"/>
  <c r="E183" i="13"/>
  <c r="E185" i="13"/>
  <c r="G185" i="13" s="1"/>
  <c r="E187" i="13"/>
  <c r="E149" i="13"/>
  <c r="G149" i="13" s="1"/>
  <c r="E152" i="13"/>
  <c r="F155" i="13"/>
  <c r="F157" i="13"/>
  <c r="F159" i="13"/>
  <c r="F161" i="13"/>
  <c r="F163" i="13"/>
  <c r="F165" i="13"/>
  <c r="F167" i="13"/>
  <c r="F169" i="13"/>
  <c r="F171" i="13"/>
  <c r="F173" i="13"/>
  <c r="F175" i="13"/>
  <c r="F177" i="13"/>
  <c r="F179" i="13"/>
  <c r="F181" i="13"/>
  <c r="F183" i="13"/>
  <c r="F185" i="13"/>
  <c r="F187" i="13"/>
  <c r="W153" i="13"/>
  <c r="W155" i="13"/>
  <c r="W157" i="13"/>
  <c r="W159" i="13"/>
  <c r="Y159" i="13" s="1"/>
  <c r="W161" i="13"/>
  <c r="W163" i="13"/>
  <c r="Y163" i="13" s="1"/>
  <c r="W165" i="13"/>
  <c r="W167" i="13"/>
  <c r="W169" i="13"/>
  <c r="W171" i="13"/>
  <c r="W173" i="13"/>
  <c r="W175" i="13"/>
  <c r="Y175" i="13" s="1"/>
  <c r="W177" i="13"/>
  <c r="W179" i="13"/>
  <c r="Y179" i="13" s="1"/>
  <c r="W181" i="13"/>
  <c r="W183" i="13"/>
  <c r="W185" i="13"/>
  <c r="W187" i="13"/>
  <c r="E151" i="13"/>
  <c r="G151" i="13" s="1"/>
  <c r="X153" i="13"/>
  <c r="X155" i="13"/>
  <c r="X157" i="13"/>
  <c r="X159" i="13"/>
  <c r="X161" i="13"/>
  <c r="X163" i="13"/>
  <c r="X165" i="13"/>
  <c r="X167" i="13"/>
  <c r="X169" i="13"/>
  <c r="X171" i="13"/>
  <c r="X173" i="13"/>
  <c r="X175" i="13"/>
  <c r="X177" i="13"/>
  <c r="X179" i="13"/>
  <c r="X181" i="13"/>
  <c r="X183" i="13"/>
  <c r="X185" i="13"/>
  <c r="X187" i="13"/>
  <c r="M185" i="13" l="1"/>
  <c r="M169" i="13"/>
  <c r="M153" i="13"/>
  <c r="AE109" i="13"/>
  <c r="Y177" i="13"/>
  <c r="Y161" i="13"/>
  <c r="G187" i="13"/>
  <c r="G171" i="13"/>
  <c r="G155" i="13"/>
  <c r="Y184" i="13"/>
  <c r="Y168" i="13"/>
  <c r="Y146" i="13"/>
  <c r="G133" i="13"/>
  <c r="G180" i="13"/>
  <c r="G164" i="13"/>
  <c r="Q99" i="13"/>
  <c r="Y127" i="13"/>
  <c r="G96" i="13"/>
  <c r="Y106" i="13"/>
  <c r="Y91" i="13"/>
  <c r="Y83" i="13"/>
  <c r="J123" i="13"/>
  <c r="H88" i="13"/>
  <c r="J111" i="13"/>
  <c r="Y100" i="13"/>
  <c r="AE183" i="13"/>
  <c r="AE167" i="13"/>
  <c r="AE151" i="13"/>
  <c r="AE136" i="13"/>
  <c r="M76" i="13"/>
  <c r="G150" i="13"/>
  <c r="AE130" i="13"/>
  <c r="Y118" i="13"/>
  <c r="G102" i="13"/>
  <c r="AE128" i="13"/>
  <c r="M85" i="13"/>
  <c r="Y76" i="13"/>
  <c r="AE51" i="13"/>
  <c r="Y110" i="13"/>
  <c r="Y93" i="13"/>
  <c r="M137" i="13"/>
  <c r="M61" i="13"/>
  <c r="AE124" i="13"/>
  <c r="M102" i="13"/>
  <c r="M94" i="13"/>
  <c r="G125" i="13"/>
  <c r="G110" i="13"/>
  <c r="M84" i="13"/>
  <c r="M143" i="13"/>
  <c r="M97" i="13"/>
  <c r="M121" i="13"/>
  <c r="M113" i="13"/>
  <c r="AE73" i="13"/>
  <c r="G67" i="13"/>
  <c r="G61" i="13"/>
  <c r="M186" i="13"/>
  <c r="M178" i="13"/>
  <c r="M170" i="13"/>
  <c r="M162" i="13"/>
  <c r="M154" i="13"/>
  <c r="M146" i="13"/>
  <c r="AE87" i="13"/>
  <c r="G162" i="13"/>
  <c r="N117" i="13"/>
  <c r="P117" i="13" s="1"/>
  <c r="G117" i="13"/>
  <c r="G85" i="13"/>
  <c r="Y173" i="13"/>
  <c r="G183" i="13"/>
  <c r="G167" i="13"/>
  <c r="Y180" i="13"/>
  <c r="Y164" i="13"/>
  <c r="Y136" i="13"/>
  <c r="G131" i="13"/>
  <c r="G176" i="13"/>
  <c r="G160" i="13"/>
  <c r="G120" i="13"/>
  <c r="H86" i="13"/>
  <c r="G94" i="13"/>
  <c r="J79" i="13"/>
  <c r="N78" i="13"/>
  <c r="Y78" i="13"/>
  <c r="Z115" i="13"/>
  <c r="AE114" i="13"/>
  <c r="AE149" i="13"/>
  <c r="G104" i="13"/>
  <c r="Y90" i="13"/>
  <c r="N75" i="13"/>
  <c r="P75" i="13" s="1"/>
  <c r="G75" i="13"/>
  <c r="G100" i="13"/>
  <c r="AE72" i="13"/>
  <c r="M125" i="13"/>
  <c r="M81" i="13"/>
  <c r="G73" i="13"/>
  <c r="M141" i="13"/>
  <c r="M56" i="13"/>
  <c r="Y89" i="13"/>
  <c r="AE122" i="13"/>
  <c r="M100" i="13"/>
  <c r="M92" i="13"/>
  <c r="AE67" i="13"/>
  <c r="AE140" i="13"/>
  <c r="G123" i="13"/>
  <c r="M80" i="13"/>
  <c r="M132" i="13"/>
  <c r="M95" i="13"/>
  <c r="M83" i="13"/>
  <c r="G70" i="13"/>
  <c r="M77" i="13"/>
  <c r="M111" i="13"/>
  <c r="AE57" i="13"/>
  <c r="G59" i="13"/>
  <c r="G51" i="13"/>
  <c r="AE106" i="13"/>
  <c r="M184" i="13"/>
  <c r="M176" i="13"/>
  <c r="M168" i="13"/>
  <c r="M160" i="13"/>
  <c r="M152" i="13"/>
  <c r="M144" i="13"/>
  <c r="AB82" i="13"/>
  <c r="G74" i="13"/>
  <c r="Y157" i="13"/>
  <c r="Y187" i="13"/>
  <c r="Y171" i="13"/>
  <c r="Y155" i="13"/>
  <c r="G181" i="13"/>
  <c r="G165" i="13"/>
  <c r="Y178" i="13"/>
  <c r="Y162" i="13"/>
  <c r="G174" i="13"/>
  <c r="G158" i="13"/>
  <c r="G112" i="13"/>
  <c r="H117" i="13"/>
  <c r="G91" i="13"/>
  <c r="G72" i="13"/>
  <c r="H89" i="13"/>
  <c r="AE138" i="13"/>
  <c r="Y113" i="13"/>
  <c r="Y94" i="13"/>
  <c r="M49" i="13"/>
  <c r="AE177" i="13"/>
  <c r="AE161" i="13"/>
  <c r="M127" i="13"/>
  <c r="AE101" i="13"/>
  <c r="Y88" i="13"/>
  <c r="M112" i="13"/>
  <c r="M91" i="13"/>
  <c r="G126" i="13"/>
  <c r="G109" i="13"/>
  <c r="G82" i="13"/>
  <c r="M70" i="13"/>
  <c r="AE139" i="13"/>
  <c r="Y103" i="13"/>
  <c r="M54" i="13"/>
  <c r="Y85" i="13"/>
  <c r="AE133" i="13"/>
  <c r="G101" i="13"/>
  <c r="G93" i="13"/>
  <c r="AE118" i="13"/>
  <c r="Y104" i="13"/>
  <c r="G81" i="13"/>
  <c r="M181" i="13"/>
  <c r="M173" i="13"/>
  <c r="M165" i="13"/>
  <c r="M157" i="13"/>
  <c r="AE90" i="13"/>
  <c r="G71" i="13"/>
  <c r="G65" i="13"/>
  <c r="F50" i="34"/>
  <c r="G49" i="13"/>
  <c r="M86" i="13"/>
  <c r="AE108" i="13"/>
  <c r="G60" i="13"/>
  <c r="Q90" i="13"/>
  <c r="Y185" i="13"/>
  <c r="G179" i="13"/>
  <c r="G163" i="13"/>
  <c r="Y176" i="13"/>
  <c r="Y160" i="13"/>
  <c r="G188" i="13"/>
  <c r="G172" i="13"/>
  <c r="G156" i="13"/>
  <c r="H129" i="13"/>
  <c r="J129" i="13" s="1"/>
  <c r="G129" i="13"/>
  <c r="Y111" i="13"/>
  <c r="AE74" i="13"/>
  <c r="AE175" i="13"/>
  <c r="AE159" i="13"/>
  <c r="N128" i="13"/>
  <c r="P128" i="13" s="1"/>
  <c r="G128" i="13"/>
  <c r="AE99" i="13"/>
  <c r="M62" i="13"/>
  <c r="G113" i="13"/>
  <c r="G92" i="13"/>
  <c r="M123" i="13"/>
  <c r="M89" i="13"/>
  <c r="M79" i="13"/>
  <c r="M68" i="13"/>
  <c r="Y101" i="13"/>
  <c r="M52" i="13"/>
  <c r="M126" i="13"/>
  <c r="Y81" i="13"/>
  <c r="M98" i="13"/>
  <c r="AE129" i="13"/>
  <c r="M147" i="13"/>
  <c r="AE119" i="13"/>
  <c r="M93" i="13"/>
  <c r="M107" i="13"/>
  <c r="AE142" i="13"/>
  <c r="M71" i="13"/>
  <c r="G57" i="13"/>
  <c r="G68" i="13"/>
  <c r="G50" i="13"/>
  <c r="M182" i="13"/>
  <c r="M174" i="13"/>
  <c r="M166" i="13"/>
  <c r="M158" i="13"/>
  <c r="M150" i="13"/>
  <c r="M134" i="13"/>
  <c r="AE120" i="13"/>
  <c r="M60" i="13"/>
  <c r="Y169" i="13"/>
  <c r="Y183" i="13"/>
  <c r="Y167" i="13"/>
  <c r="G177" i="13"/>
  <c r="G161" i="13"/>
  <c r="Y174" i="13"/>
  <c r="Y158" i="13"/>
  <c r="G148" i="13"/>
  <c r="G186" i="13"/>
  <c r="G170" i="13"/>
  <c r="G154" i="13"/>
  <c r="AB121" i="13"/>
  <c r="H97" i="13"/>
  <c r="G118" i="13"/>
  <c r="Y123" i="13"/>
  <c r="G87" i="13"/>
  <c r="I152" i="13"/>
  <c r="N121" i="13"/>
  <c r="G121" i="13"/>
  <c r="Y84" i="13"/>
  <c r="M110" i="13"/>
  <c r="G124" i="13"/>
  <c r="AE66" i="13"/>
  <c r="Y99" i="13"/>
  <c r="M50" i="13"/>
  <c r="G127" i="13"/>
  <c r="AE131" i="13"/>
  <c r="Y119" i="13"/>
  <c r="G99" i="13"/>
  <c r="M59" i="13"/>
  <c r="AE116" i="13"/>
  <c r="G79" i="13"/>
  <c r="M187" i="13"/>
  <c r="M179" i="13"/>
  <c r="M171" i="13"/>
  <c r="M163" i="13"/>
  <c r="M155" i="13"/>
  <c r="M135" i="13"/>
  <c r="K6" i="34"/>
  <c r="L49" i="34"/>
  <c r="L5" i="34"/>
  <c r="AE69" i="13"/>
  <c r="AE55" i="13"/>
  <c r="G63" i="13"/>
  <c r="M82" i="13"/>
  <c r="M5" i="34"/>
  <c r="M49" i="34"/>
  <c r="M55" i="34" s="1"/>
  <c r="Y109" i="13"/>
  <c r="G178" i="13"/>
  <c r="J93" i="13"/>
  <c r="AE53" i="13"/>
  <c r="G54" i="13"/>
  <c r="Y153" i="13"/>
  <c r="Y181" i="13"/>
  <c r="Y165" i="13"/>
  <c r="G152" i="13"/>
  <c r="G175" i="13"/>
  <c r="G159" i="13"/>
  <c r="Y188" i="13"/>
  <c r="Y172" i="13"/>
  <c r="Y156" i="13"/>
  <c r="Y132" i="13"/>
  <c r="G143" i="13"/>
  <c r="G135" i="13"/>
  <c r="G184" i="13"/>
  <c r="G168" i="13"/>
  <c r="H103" i="13"/>
  <c r="G116" i="13"/>
  <c r="G98" i="13"/>
  <c r="Z150" i="13"/>
  <c r="AB150" i="13" s="1"/>
  <c r="Z122" i="13"/>
  <c r="Q124" i="13"/>
  <c r="J124" i="13"/>
  <c r="AB124" i="13"/>
  <c r="J75" i="13"/>
  <c r="AE103" i="13"/>
  <c r="Y124" i="13"/>
  <c r="Y82" i="13"/>
  <c r="G111" i="13"/>
  <c r="M65" i="13"/>
  <c r="AE117" i="13"/>
  <c r="AE58" i="13"/>
  <c r="Y97" i="13"/>
  <c r="M48" i="13"/>
  <c r="Y121" i="13"/>
  <c r="M75" i="13"/>
  <c r="Y117" i="13"/>
  <c r="M96" i="13"/>
  <c r="AE78" i="13"/>
  <c r="M88" i="13"/>
  <c r="J77" i="13"/>
  <c r="M145" i="13"/>
  <c r="AE115" i="13"/>
  <c r="M64" i="13"/>
  <c r="G69" i="13"/>
  <c r="M63" i="13"/>
  <c r="G55" i="13"/>
  <c r="G66" i="13"/>
  <c r="M188" i="13"/>
  <c r="M180" i="13"/>
  <c r="M172" i="13"/>
  <c r="M164" i="13"/>
  <c r="M156" i="13"/>
  <c r="M148" i="13"/>
  <c r="G77" i="13"/>
  <c r="G52" i="13"/>
  <c r="AE105" i="13"/>
  <c r="M105" i="13"/>
  <c r="AE104" i="13"/>
  <c r="M104" i="13"/>
  <c r="A23" i="24"/>
  <c r="A31" i="2"/>
  <c r="A21" i="16"/>
  <c r="M33" i="34"/>
  <c r="L33" i="34"/>
  <c r="Q32" i="34"/>
  <c r="N43" i="34"/>
  <c r="E38" i="33"/>
  <c r="D39" i="33"/>
  <c r="K34" i="34"/>
  <c r="B30" i="33"/>
  <c r="Q113" i="13"/>
  <c r="AA183" i="13"/>
  <c r="AA167" i="13"/>
  <c r="H151" i="13"/>
  <c r="N151" i="13"/>
  <c r="Z175" i="13"/>
  <c r="AB175" i="13" s="1"/>
  <c r="Z159" i="13"/>
  <c r="I181" i="13"/>
  <c r="O181" i="13"/>
  <c r="I165" i="13"/>
  <c r="O165" i="13"/>
  <c r="H173" i="13"/>
  <c r="N173" i="13"/>
  <c r="H157" i="13"/>
  <c r="J157" i="13" s="1"/>
  <c r="N157" i="13"/>
  <c r="AA180" i="13"/>
  <c r="AA164" i="13"/>
  <c r="Z186" i="13"/>
  <c r="Z170" i="13"/>
  <c r="Z154" i="13"/>
  <c r="I178" i="13"/>
  <c r="O178" i="13"/>
  <c r="I162" i="13"/>
  <c r="O162" i="13"/>
  <c r="Z147" i="13"/>
  <c r="Z139" i="13"/>
  <c r="Z131" i="13"/>
  <c r="AA127" i="13"/>
  <c r="R127" i="13" s="1"/>
  <c r="AA111" i="13"/>
  <c r="AB111" i="13" s="1"/>
  <c r="H142" i="13"/>
  <c r="N142" i="13"/>
  <c r="H134" i="13"/>
  <c r="N134" i="13"/>
  <c r="H182" i="13"/>
  <c r="N182" i="13"/>
  <c r="H166" i="13"/>
  <c r="N166" i="13"/>
  <c r="H114" i="13"/>
  <c r="J114" i="13" s="1"/>
  <c r="N114" i="13"/>
  <c r="I101" i="13"/>
  <c r="J101" i="13" s="1"/>
  <c r="O101" i="13"/>
  <c r="Z107" i="13"/>
  <c r="AB107" i="13" s="1"/>
  <c r="I112" i="13"/>
  <c r="O112" i="13"/>
  <c r="I116" i="13"/>
  <c r="O116" i="13"/>
  <c r="Z87" i="13"/>
  <c r="AA97" i="13"/>
  <c r="AB97" i="13" s="1"/>
  <c r="H72" i="13"/>
  <c r="AA101" i="13"/>
  <c r="R128" i="13"/>
  <c r="R152" i="13"/>
  <c r="Z148" i="13"/>
  <c r="AB148" i="13" s="1"/>
  <c r="AA94" i="13"/>
  <c r="AB94" i="13" s="1"/>
  <c r="Q121" i="13"/>
  <c r="AA84" i="13"/>
  <c r="I146" i="13"/>
  <c r="O146" i="13"/>
  <c r="O111" i="13"/>
  <c r="I92" i="13"/>
  <c r="J92" i="13" s="1"/>
  <c r="O92" i="13"/>
  <c r="Z116" i="13"/>
  <c r="AB116" i="13" s="1"/>
  <c r="Z95" i="13"/>
  <c r="Z128" i="13"/>
  <c r="AB128" i="13" s="1"/>
  <c r="N97" i="13"/>
  <c r="O87" i="13"/>
  <c r="O79" i="13"/>
  <c r="H125" i="13"/>
  <c r="J125" i="13" s="1"/>
  <c r="N125" i="13"/>
  <c r="Z104" i="13"/>
  <c r="AB104" i="13" s="1"/>
  <c r="H85" i="13"/>
  <c r="N85" i="13"/>
  <c r="AA185" i="13"/>
  <c r="Z173" i="13"/>
  <c r="Z157" i="13"/>
  <c r="I179" i="13"/>
  <c r="O179" i="13"/>
  <c r="I163" i="13"/>
  <c r="O163" i="13"/>
  <c r="H187" i="13"/>
  <c r="N187" i="13"/>
  <c r="H171" i="13"/>
  <c r="N171" i="13"/>
  <c r="H155" i="13"/>
  <c r="N155" i="13"/>
  <c r="AA178" i="13"/>
  <c r="AA162" i="13"/>
  <c r="Z184" i="13"/>
  <c r="Z168" i="13"/>
  <c r="Z151" i="13"/>
  <c r="AB151" i="13" s="1"/>
  <c r="I176" i="13"/>
  <c r="O176" i="13"/>
  <c r="I160" i="13"/>
  <c r="O160" i="13"/>
  <c r="Z146" i="13"/>
  <c r="Z138" i="13"/>
  <c r="AB138" i="13" s="1"/>
  <c r="Z130" i="13"/>
  <c r="AB130" i="13" s="1"/>
  <c r="AA125" i="13"/>
  <c r="Z152" i="13"/>
  <c r="AB152" i="13" s="1"/>
  <c r="H141" i="13"/>
  <c r="J141" i="13" s="1"/>
  <c r="N141" i="13"/>
  <c r="H133" i="13"/>
  <c r="J133" i="13" s="1"/>
  <c r="N133" i="13"/>
  <c r="H180" i="13"/>
  <c r="N180" i="13"/>
  <c r="H164" i="13"/>
  <c r="N164" i="13"/>
  <c r="AA108" i="13"/>
  <c r="I99" i="13"/>
  <c r="J99" i="13" s="1"/>
  <c r="O99" i="13"/>
  <c r="Z127" i="13"/>
  <c r="R111" i="13"/>
  <c r="I96" i="13"/>
  <c r="O96" i="13"/>
  <c r="H96" i="13"/>
  <c r="N96" i="13"/>
  <c r="P96" i="13" s="1"/>
  <c r="AA95" i="13"/>
  <c r="AA102" i="13"/>
  <c r="AA147" i="13"/>
  <c r="AA74" i="13"/>
  <c r="AB74" i="13" s="1"/>
  <c r="AA118" i="13"/>
  <c r="AB118" i="13" s="1"/>
  <c r="AA142" i="13"/>
  <c r="Z78" i="13"/>
  <c r="R124" i="13"/>
  <c r="Z92" i="13"/>
  <c r="H104" i="13"/>
  <c r="J104" i="13" s="1"/>
  <c r="N104" i="13"/>
  <c r="AA114" i="13"/>
  <c r="N102" i="13"/>
  <c r="O86" i="13"/>
  <c r="Q78" i="13"/>
  <c r="H126" i="13"/>
  <c r="J126" i="13" s="1"/>
  <c r="N126" i="13"/>
  <c r="P126" i="13" s="1"/>
  <c r="N86" i="13"/>
  <c r="P86" i="13" s="1"/>
  <c r="O138" i="13"/>
  <c r="I76" i="13"/>
  <c r="O76" i="13"/>
  <c r="O153" i="13"/>
  <c r="Z89" i="13"/>
  <c r="O74" i="13"/>
  <c r="I134" i="13"/>
  <c r="O134" i="13"/>
  <c r="Z75" i="13"/>
  <c r="AA179" i="13"/>
  <c r="Z187" i="13"/>
  <c r="Z171" i="13"/>
  <c r="Z155" i="13"/>
  <c r="I177" i="13"/>
  <c r="O177" i="13"/>
  <c r="I161" i="13"/>
  <c r="O161" i="13"/>
  <c r="H185" i="13"/>
  <c r="N185" i="13"/>
  <c r="H169" i="13"/>
  <c r="N169" i="13"/>
  <c r="AA176" i="13"/>
  <c r="AA160" i="13"/>
  <c r="Z182" i="13"/>
  <c r="AB182" i="13" s="1"/>
  <c r="Z166" i="13"/>
  <c r="I174" i="13"/>
  <c r="O174" i="13"/>
  <c r="I158" i="13"/>
  <c r="O158" i="13"/>
  <c r="Z145" i="13"/>
  <c r="AB145" i="13" s="1"/>
  <c r="Z137" i="13"/>
  <c r="AB137" i="13" s="1"/>
  <c r="Z129" i="13"/>
  <c r="AA123" i="13"/>
  <c r="I148" i="13"/>
  <c r="O148" i="13"/>
  <c r="H140" i="13"/>
  <c r="N140" i="13"/>
  <c r="H132" i="13"/>
  <c r="J132" i="13" s="1"/>
  <c r="N132" i="13"/>
  <c r="H178" i="13"/>
  <c r="J178" i="13" s="1"/>
  <c r="N178" i="13"/>
  <c r="H162" i="13"/>
  <c r="J162" i="13" s="1"/>
  <c r="N162" i="13"/>
  <c r="P162" i="13" s="1"/>
  <c r="I120" i="13"/>
  <c r="O120" i="13"/>
  <c r="I97" i="13"/>
  <c r="O97" i="13"/>
  <c r="Z125" i="13"/>
  <c r="AB125" i="13" s="1"/>
  <c r="H108" i="13"/>
  <c r="N108" i="13"/>
  <c r="I94" i="13"/>
  <c r="O94" i="13"/>
  <c r="AA93" i="13"/>
  <c r="Z91" i="13"/>
  <c r="AB91" i="13" s="1"/>
  <c r="Z83" i="13"/>
  <c r="AA88" i="13"/>
  <c r="AA139" i="13"/>
  <c r="AA134" i="13"/>
  <c r="Q92" i="13"/>
  <c r="R137" i="13"/>
  <c r="Z126" i="13"/>
  <c r="H119" i="13"/>
  <c r="N119" i="13"/>
  <c r="Z102" i="13"/>
  <c r="AA82" i="13"/>
  <c r="AA116" i="13"/>
  <c r="Z80" i="13"/>
  <c r="H150" i="13"/>
  <c r="N150" i="13"/>
  <c r="Z120" i="13"/>
  <c r="AB120" i="13" s="1"/>
  <c r="AA110" i="13"/>
  <c r="O127" i="13"/>
  <c r="Z114" i="13"/>
  <c r="AB114" i="13" s="1"/>
  <c r="AA85" i="13"/>
  <c r="AB85" i="13" s="1"/>
  <c r="I114" i="13"/>
  <c r="O114" i="13"/>
  <c r="O143" i="13"/>
  <c r="O125" i="13"/>
  <c r="N103" i="13"/>
  <c r="N95" i="13"/>
  <c r="P95" i="13" s="1"/>
  <c r="I85" i="13"/>
  <c r="O85" i="13"/>
  <c r="N123" i="13"/>
  <c r="AA96" i="13"/>
  <c r="N81" i="13"/>
  <c r="AA187" i="13"/>
  <c r="AA163" i="13"/>
  <c r="Z185" i="13"/>
  <c r="AB185" i="13" s="1"/>
  <c r="Z169" i="13"/>
  <c r="I175" i="13"/>
  <c r="O175" i="13"/>
  <c r="I159" i="13"/>
  <c r="O159" i="13"/>
  <c r="H183" i="13"/>
  <c r="J183" i="13" s="1"/>
  <c r="N183" i="13"/>
  <c r="H167" i="13"/>
  <c r="J167" i="13" s="1"/>
  <c r="N167" i="13"/>
  <c r="R149" i="13"/>
  <c r="AA174" i="13"/>
  <c r="AA158" i="13"/>
  <c r="Z180" i="13"/>
  <c r="AB180" i="13" s="1"/>
  <c r="Z164" i="13"/>
  <c r="AB164" i="13" s="1"/>
  <c r="I188" i="13"/>
  <c r="O188" i="13"/>
  <c r="I172" i="13"/>
  <c r="O172" i="13"/>
  <c r="I156" i="13"/>
  <c r="O156" i="13"/>
  <c r="Z144" i="13"/>
  <c r="Z136" i="13"/>
  <c r="AB136" i="13" s="1"/>
  <c r="AA121" i="13"/>
  <c r="H147" i="13"/>
  <c r="N147" i="13"/>
  <c r="H139" i="13"/>
  <c r="N139" i="13"/>
  <c r="H131" i="13"/>
  <c r="J131" i="13" s="1"/>
  <c r="N131" i="13"/>
  <c r="H176" i="13"/>
  <c r="J176" i="13" s="1"/>
  <c r="N176" i="13"/>
  <c r="H160" i="13"/>
  <c r="J160" i="13" s="1"/>
  <c r="N160" i="13"/>
  <c r="Z105" i="13"/>
  <c r="I95" i="13"/>
  <c r="J95" i="13" s="1"/>
  <c r="O95" i="13"/>
  <c r="H120" i="13"/>
  <c r="N120" i="13"/>
  <c r="P120" i="13" s="1"/>
  <c r="I107" i="13"/>
  <c r="O107" i="13"/>
  <c r="H94" i="13"/>
  <c r="N94" i="13"/>
  <c r="P94" i="13" s="1"/>
  <c r="Z106" i="13"/>
  <c r="AB106" i="13" s="1"/>
  <c r="AA91" i="13"/>
  <c r="I88" i="13"/>
  <c r="O88" i="13"/>
  <c r="Z77" i="13"/>
  <c r="AA131" i="13"/>
  <c r="AA120" i="13"/>
  <c r="AA144" i="13"/>
  <c r="Z96" i="13"/>
  <c r="AB96" i="13" s="1"/>
  <c r="AA90" i="13"/>
  <c r="AB90" i="13" s="1"/>
  <c r="N113" i="13"/>
  <c r="H100" i="13"/>
  <c r="N100" i="13"/>
  <c r="I84" i="13"/>
  <c r="O84" i="13"/>
  <c r="AA76" i="13"/>
  <c r="AB76" i="13" s="1"/>
  <c r="AA136" i="13"/>
  <c r="N124" i="13"/>
  <c r="N82" i="13"/>
  <c r="Z93" i="13"/>
  <c r="AB93" i="13" s="1"/>
  <c r="O149" i="13"/>
  <c r="Z81" i="13"/>
  <c r="AB81" i="13" s="1"/>
  <c r="O132" i="13"/>
  <c r="AA146" i="13"/>
  <c r="I130" i="13"/>
  <c r="O130" i="13"/>
  <c r="H110" i="13"/>
  <c r="J110" i="13" s="1"/>
  <c r="N110" i="13"/>
  <c r="P110" i="13" s="1"/>
  <c r="H74" i="13"/>
  <c r="N74" i="13"/>
  <c r="P74" i="13" s="1"/>
  <c r="AA165" i="13"/>
  <c r="AA161" i="13"/>
  <c r="Z153" i="13"/>
  <c r="AA175" i="13"/>
  <c r="AA159" i="13"/>
  <c r="Z183" i="13"/>
  <c r="AB183" i="13" s="1"/>
  <c r="Z167" i="13"/>
  <c r="AB167" i="13" s="1"/>
  <c r="I173" i="13"/>
  <c r="O173" i="13"/>
  <c r="I157" i="13"/>
  <c r="O157" i="13"/>
  <c r="H181" i="13"/>
  <c r="J181" i="13" s="1"/>
  <c r="N181" i="13"/>
  <c r="P181" i="13" s="1"/>
  <c r="H165" i="13"/>
  <c r="J165" i="13" s="1"/>
  <c r="N165" i="13"/>
  <c r="P165" i="13" s="1"/>
  <c r="AA188" i="13"/>
  <c r="AA172" i="13"/>
  <c r="AA156" i="13"/>
  <c r="Z178" i="13"/>
  <c r="Z162" i="13"/>
  <c r="AB162" i="13" s="1"/>
  <c r="I186" i="13"/>
  <c r="O186" i="13"/>
  <c r="I170" i="13"/>
  <c r="O170" i="13"/>
  <c r="I154" i="13"/>
  <c r="O154" i="13"/>
  <c r="Z143" i="13"/>
  <c r="AB143" i="13" s="1"/>
  <c r="Z135" i="13"/>
  <c r="AA119" i="13"/>
  <c r="AB119" i="13" s="1"/>
  <c r="H146" i="13"/>
  <c r="N146" i="13"/>
  <c r="P146" i="13" s="1"/>
  <c r="H138" i="13"/>
  <c r="N138" i="13"/>
  <c r="P138" i="13" s="1"/>
  <c r="H130" i="13"/>
  <c r="N130" i="13"/>
  <c r="P130" i="13" s="1"/>
  <c r="H174" i="13"/>
  <c r="J174" i="13" s="1"/>
  <c r="N174" i="13"/>
  <c r="P174" i="13" s="1"/>
  <c r="H158" i="13"/>
  <c r="J158" i="13" s="1"/>
  <c r="N158" i="13"/>
  <c r="P158" i="13" s="1"/>
  <c r="H112" i="13"/>
  <c r="J112" i="13" s="1"/>
  <c r="N112" i="13"/>
  <c r="I109" i="13"/>
  <c r="O109" i="13"/>
  <c r="I93" i="13"/>
  <c r="O93" i="13"/>
  <c r="I104" i="13"/>
  <c r="O104" i="13"/>
  <c r="H91" i="13"/>
  <c r="J91" i="13" s="1"/>
  <c r="N91" i="13"/>
  <c r="Q82" i="13"/>
  <c r="AA143" i="13"/>
  <c r="R74" i="13"/>
  <c r="Q75" i="13"/>
  <c r="AA133" i="13"/>
  <c r="AA80" i="13"/>
  <c r="AA140" i="13"/>
  <c r="H115" i="13"/>
  <c r="N115" i="13"/>
  <c r="Z84" i="13"/>
  <c r="AB84" i="13" s="1"/>
  <c r="I144" i="13"/>
  <c r="O144" i="13"/>
  <c r="H109" i="13"/>
  <c r="N109" i="13"/>
  <c r="P109" i="13" s="1"/>
  <c r="Z103" i="13"/>
  <c r="O110" i="13"/>
  <c r="I123" i="13"/>
  <c r="O123" i="13"/>
  <c r="N101" i="13"/>
  <c r="P101" i="13" s="1"/>
  <c r="N93" i="13"/>
  <c r="P93" i="13" s="1"/>
  <c r="I83" i="13"/>
  <c r="O83" i="13"/>
  <c r="AA75" i="13"/>
  <c r="O128" i="13"/>
  <c r="O119" i="13"/>
  <c r="AA92" i="13"/>
  <c r="N79" i="13"/>
  <c r="P79" i="13" s="1"/>
  <c r="AA181" i="13"/>
  <c r="AA177" i="13"/>
  <c r="AA173" i="13"/>
  <c r="AA157" i="13"/>
  <c r="Z181" i="13"/>
  <c r="Z165" i="13"/>
  <c r="AB165" i="13" s="1"/>
  <c r="I187" i="13"/>
  <c r="O187" i="13"/>
  <c r="I171" i="13"/>
  <c r="O171" i="13"/>
  <c r="I155" i="13"/>
  <c r="O155" i="13"/>
  <c r="H179" i="13"/>
  <c r="N179" i="13"/>
  <c r="P179" i="13" s="1"/>
  <c r="H163" i="13"/>
  <c r="N163" i="13"/>
  <c r="P163" i="13" s="1"/>
  <c r="AA186" i="13"/>
  <c r="AA170" i="13"/>
  <c r="AA154" i="13"/>
  <c r="Z176" i="13"/>
  <c r="Z160" i="13"/>
  <c r="AB160" i="13" s="1"/>
  <c r="I184" i="13"/>
  <c r="O184" i="13"/>
  <c r="I168" i="13"/>
  <c r="O168" i="13"/>
  <c r="Z142" i="13"/>
  <c r="AB142" i="13" s="1"/>
  <c r="Z134" i="13"/>
  <c r="AB134" i="13" s="1"/>
  <c r="AA117" i="13"/>
  <c r="AB117" i="13" s="1"/>
  <c r="H145" i="13"/>
  <c r="N145" i="13"/>
  <c r="H137" i="13"/>
  <c r="N137" i="13"/>
  <c r="P137" i="13" s="1"/>
  <c r="H188" i="13"/>
  <c r="J188" i="13" s="1"/>
  <c r="N188" i="13"/>
  <c r="H172" i="13"/>
  <c r="J172" i="13" s="1"/>
  <c r="N172" i="13"/>
  <c r="P172" i="13" s="1"/>
  <c r="H156" i="13"/>
  <c r="J156" i="13" s="1"/>
  <c r="N156" i="13"/>
  <c r="P156" i="13" s="1"/>
  <c r="H107" i="13"/>
  <c r="J107" i="13" s="1"/>
  <c r="N107" i="13"/>
  <c r="H106" i="13"/>
  <c r="N106" i="13"/>
  <c r="N129" i="13"/>
  <c r="P129" i="13" s="1"/>
  <c r="H105" i="13"/>
  <c r="N105" i="13"/>
  <c r="I102" i="13"/>
  <c r="J102" i="13" s="1"/>
  <c r="O102" i="13"/>
  <c r="I108" i="13"/>
  <c r="O108" i="13"/>
  <c r="AA87" i="13"/>
  <c r="H83" i="13"/>
  <c r="N83" i="13"/>
  <c r="H84" i="13"/>
  <c r="N84" i="13"/>
  <c r="P84" i="13" s="1"/>
  <c r="Z112" i="13"/>
  <c r="AB112" i="13" s="1"/>
  <c r="AA98" i="13"/>
  <c r="AB98" i="13" s="1"/>
  <c r="AA135" i="13"/>
  <c r="R86" i="13"/>
  <c r="AA129" i="13"/>
  <c r="I133" i="13"/>
  <c r="O133" i="13"/>
  <c r="O124" i="13"/>
  <c r="N111" i="13"/>
  <c r="P111" i="13" s="1"/>
  <c r="N92" i="13"/>
  <c r="P92" i="13" s="1"/>
  <c r="I82" i="13"/>
  <c r="J82" i="13" s="1"/>
  <c r="O82" i="13"/>
  <c r="I142" i="13"/>
  <c r="O142" i="13"/>
  <c r="O129" i="13"/>
  <c r="I118" i="13"/>
  <c r="O118" i="13"/>
  <c r="N90" i="13"/>
  <c r="H80" i="13"/>
  <c r="N80" i="13"/>
  <c r="H73" i="13"/>
  <c r="J73" i="13" s="1"/>
  <c r="AA81" i="13"/>
  <c r="O147" i="13"/>
  <c r="I121" i="13"/>
  <c r="J121" i="13" s="1"/>
  <c r="O121" i="13"/>
  <c r="I141" i="13"/>
  <c r="O141" i="13"/>
  <c r="I106" i="13"/>
  <c r="O106" i="13"/>
  <c r="N77" i="13"/>
  <c r="P77" i="13" s="1"/>
  <c r="AA171" i="13"/>
  <c r="AA155" i="13"/>
  <c r="Z179" i="13"/>
  <c r="AB179" i="13" s="1"/>
  <c r="Z163" i="13"/>
  <c r="AB163" i="13" s="1"/>
  <c r="I185" i="13"/>
  <c r="O185" i="13"/>
  <c r="I169" i="13"/>
  <c r="O169" i="13"/>
  <c r="H152" i="13"/>
  <c r="N152" i="13"/>
  <c r="P152" i="13" s="1"/>
  <c r="H177" i="13"/>
  <c r="N177" i="13"/>
  <c r="P177" i="13" s="1"/>
  <c r="H161" i="13"/>
  <c r="N161" i="13"/>
  <c r="P161" i="13" s="1"/>
  <c r="AA184" i="13"/>
  <c r="AA168" i="13"/>
  <c r="H153" i="13"/>
  <c r="N153" i="13"/>
  <c r="P153" i="13" s="1"/>
  <c r="Z174" i="13"/>
  <c r="AB174" i="13" s="1"/>
  <c r="Z158" i="13"/>
  <c r="AB158" i="13" s="1"/>
  <c r="I182" i="13"/>
  <c r="O182" i="13"/>
  <c r="I166" i="13"/>
  <c r="O166" i="13"/>
  <c r="H148" i="13"/>
  <c r="N148" i="13"/>
  <c r="P148" i="13" s="1"/>
  <c r="Z141" i="13"/>
  <c r="AB141" i="13" s="1"/>
  <c r="Z133" i="13"/>
  <c r="AB133" i="13" s="1"/>
  <c r="I151" i="13"/>
  <c r="O151" i="13"/>
  <c r="AA115" i="13"/>
  <c r="H144" i="13"/>
  <c r="N144" i="13"/>
  <c r="H136" i="13"/>
  <c r="N136" i="13"/>
  <c r="H186" i="13"/>
  <c r="J186" i="13" s="1"/>
  <c r="N186" i="13"/>
  <c r="P186" i="13" s="1"/>
  <c r="H170" i="13"/>
  <c r="N170" i="13"/>
  <c r="P170" i="13" s="1"/>
  <c r="H154" i="13"/>
  <c r="N154" i="13"/>
  <c r="P154" i="13" s="1"/>
  <c r="Z108" i="13"/>
  <c r="I105" i="13"/>
  <c r="O105" i="13"/>
  <c r="H122" i="13"/>
  <c r="N122" i="13"/>
  <c r="I100" i="13"/>
  <c r="O100" i="13"/>
  <c r="H118" i="13"/>
  <c r="N118" i="13"/>
  <c r="P118" i="13" s="1"/>
  <c r="H76" i="13"/>
  <c r="N76" i="13"/>
  <c r="P76" i="13" s="1"/>
  <c r="AA83" i="13"/>
  <c r="AA103" i="13"/>
  <c r="R135" i="13"/>
  <c r="AA104" i="13"/>
  <c r="Z79" i="13"/>
  <c r="AA109" i="13"/>
  <c r="AB109" i="13" s="1"/>
  <c r="R138" i="13"/>
  <c r="Q111" i="13"/>
  <c r="S111" i="13" s="1"/>
  <c r="AA122" i="13"/>
  <c r="O113" i="13"/>
  <c r="Z88" i="13"/>
  <c r="AB88" i="13" s="1"/>
  <c r="AA132" i="13"/>
  <c r="I145" i="13"/>
  <c r="O145" i="13"/>
  <c r="I136" i="13"/>
  <c r="O136" i="13"/>
  <c r="O91" i="13"/>
  <c r="N99" i="13"/>
  <c r="I89" i="13"/>
  <c r="O89" i="13"/>
  <c r="I81" i="13"/>
  <c r="J81" i="13" s="1"/>
  <c r="O81" i="13"/>
  <c r="AA126" i="13"/>
  <c r="O117" i="13"/>
  <c r="N89" i="13"/>
  <c r="P89" i="13" s="1"/>
  <c r="Q77" i="13"/>
  <c r="AA169" i="13"/>
  <c r="AA153" i="13"/>
  <c r="Z177" i="13"/>
  <c r="AB177" i="13" s="1"/>
  <c r="Z161" i="13"/>
  <c r="AB161" i="13" s="1"/>
  <c r="I183" i="13"/>
  <c r="O183" i="13"/>
  <c r="I167" i="13"/>
  <c r="O167" i="13"/>
  <c r="H149" i="13"/>
  <c r="J149" i="13" s="1"/>
  <c r="N149" i="13"/>
  <c r="P149" i="13" s="1"/>
  <c r="H175" i="13"/>
  <c r="J175" i="13" s="1"/>
  <c r="N175" i="13"/>
  <c r="P175" i="13" s="1"/>
  <c r="H159" i="13"/>
  <c r="N159" i="13"/>
  <c r="P159" i="13" s="1"/>
  <c r="AA182" i="13"/>
  <c r="AA166" i="13"/>
  <c r="Z188" i="13"/>
  <c r="AB188" i="13" s="1"/>
  <c r="Z172" i="13"/>
  <c r="AB172" i="13" s="1"/>
  <c r="Z156" i="13"/>
  <c r="AB156" i="13" s="1"/>
  <c r="I180" i="13"/>
  <c r="O180" i="13"/>
  <c r="I164" i="13"/>
  <c r="O164" i="13"/>
  <c r="Q128" i="13"/>
  <c r="S128" i="13" s="1"/>
  <c r="Z140" i="13"/>
  <c r="AB140" i="13" s="1"/>
  <c r="Z132" i="13"/>
  <c r="AB132" i="13" s="1"/>
  <c r="R147" i="13"/>
  <c r="AA113" i="13"/>
  <c r="AB113" i="13" s="1"/>
  <c r="H143" i="13"/>
  <c r="N143" i="13"/>
  <c r="P143" i="13" s="1"/>
  <c r="H135" i="13"/>
  <c r="J135" i="13" s="1"/>
  <c r="N135" i="13"/>
  <c r="H184" i="13"/>
  <c r="J184" i="13" s="1"/>
  <c r="N184" i="13"/>
  <c r="P184" i="13" s="1"/>
  <c r="H168" i="13"/>
  <c r="N168" i="13"/>
  <c r="I150" i="13"/>
  <c r="O150" i="13"/>
  <c r="I103" i="13"/>
  <c r="O103" i="13"/>
  <c r="H116" i="13"/>
  <c r="N116" i="13"/>
  <c r="I98" i="13"/>
  <c r="O98" i="13"/>
  <c r="H98" i="13"/>
  <c r="N98" i="13"/>
  <c r="AA99" i="13"/>
  <c r="AB99" i="13" s="1"/>
  <c r="Z123" i="13"/>
  <c r="H87" i="13"/>
  <c r="J87" i="13" s="1"/>
  <c r="N87" i="13"/>
  <c r="P87" i="13" s="1"/>
  <c r="Q79" i="13"/>
  <c r="AA78" i="13"/>
  <c r="AA100" i="13"/>
  <c r="AB100" i="13" s="1"/>
  <c r="I139" i="13"/>
  <c r="O139" i="13"/>
  <c r="O135" i="13"/>
  <c r="AA105" i="13"/>
  <c r="O131" i="13"/>
  <c r="I122" i="13"/>
  <c r="O122" i="13"/>
  <c r="I90" i="13"/>
  <c r="J90" i="13" s="1"/>
  <c r="O90" i="13"/>
  <c r="O80" i="13"/>
  <c r="N88" i="13"/>
  <c r="I78" i="13"/>
  <c r="J78" i="13" s="1"/>
  <c r="O78" i="13"/>
  <c r="Z149" i="13"/>
  <c r="AB149" i="13" s="1"/>
  <c r="I140" i="13"/>
  <c r="O140" i="13"/>
  <c r="Z110" i="13"/>
  <c r="AB110" i="13" s="1"/>
  <c r="Z101" i="13"/>
  <c r="AB101" i="13" s="1"/>
  <c r="AA79" i="13"/>
  <c r="N127" i="13"/>
  <c r="P127" i="13" s="1"/>
  <c r="AA77" i="13"/>
  <c r="O115" i="13"/>
  <c r="J103" i="13" l="1"/>
  <c r="P88" i="13"/>
  <c r="Q123" i="13"/>
  <c r="AB123" i="13"/>
  <c r="P135" i="13"/>
  <c r="S77" i="13"/>
  <c r="P99" i="13"/>
  <c r="P122" i="13"/>
  <c r="Q170" i="13"/>
  <c r="J170" i="13"/>
  <c r="P80" i="13"/>
  <c r="P106" i="13"/>
  <c r="P188" i="13"/>
  <c r="Q109" i="13"/>
  <c r="S109" i="13" s="1"/>
  <c r="J109" i="13"/>
  <c r="Q146" i="13"/>
  <c r="S146" i="13" s="1"/>
  <c r="J146" i="13"/>
  <c r="Q74" i="13"/>
  <c r="S74" i="13" s="1"/>
  <c r="J74" i="13"/>
  <c r="P100" i="13"/>
  <c r="AB77" i="13"/>
  <c r="P176" i="13"/>
  <c r="P183" i="13"/>
  <c r="P103" i="13"/>
  <c r="P119" i="13"/>
  <c r="AB83" i="13"/>
  <c r="P132" i="13"/>
  <c r="AB92" i="13"/>
  <c r="P141" i="13"/>
  <c r="P155" i="13"/>
  <c r="P125" i="13"/>
  <c r="P166" i="13"/>
  <c r="P173" i="13"/>
  <c r="P151" i="13"/>
  <c r="Q97" i="13"/>
  <c r="J97" i="13"/>
  <c r="P78" i="13"/>
  <c r="Q116" i="13"/>
  <c r="S116" i="13" s="1"/>
  <c r="J116" i="13"/>
  <c r="AB129" i="13"/>
  <c r="Q80" i="13"/>
  <c r="J80" i="13"/>
  <c r="Q100" i="13"/>
  <c r="J100" i="13"/>
  <c r="J173" i="13"/>
  <c r="S90" i="13"/>
  <c r="P98" i="13"/>
  <c r="P90" i="13"/>
  <c r="P107" i="13"/>
  <c r="P82" i="13"/>
  <c r="P113" i="13"/>
  <c r="Q120" i="13"/>
  <c r="J120" i="13"/>
  <c r="P131" i="13"/>
  <c r="AB144" i="13"/>
  <c r="P81" i="13"/>
  <c r="P150" i="13"/>
  <c r="AB126" i="13"/>
  <c r="P140" i="13"/>
  <c r="P169" i="13"/>
  <c r="AB155" i="13"/>
  <c r="Q89" i="13"/>
  <c r="S89" i="13" s="1"/>
  <c r="AB89" i="13"/>
  <c r="S78" i="13"/>
  <c r="AB78" i="13"/>
  <c r="J96" i="13"/>
  <c r="P164" i="13"/>
  <c r="P171" i="13"/>
  <c r="AB157" i="13"/>
  <c r="P182" i="13"/>
  <c r="AB131" i="13"/>
  <c r="AB170" i="13"/>
  <c r="AB122" i="13"/>
  <c r="P121" i="13"/>
  <c r="J89" i="13"/>
  <c r="J142" i="13"/>
  <c r="J155" i="13"/>
  <c r="J166" i="13"/>
  <c r="J151" i="13"/>
  <c r="Q98" i="13"/>
  <c r="S98" i="13" s="1"/>
  <c r="J98" i="13"/>
  <c r="Q143" i="13"/>
  <c r="J143" i="13"/>
  <c r="Q159" i="13"/>
  <c r="J159" i="13"/>
  <c r="Q76" i="13"/>
  <c r="S76" i="13" s="1"/>
  <c r="J76" i="13"/>
  <c r="P136" i="13"/>
  <c r="J177" i="13"/>
  <c r="Q137" i="13"/>
  <c r="S137" i="13" s="1"/>
  <c r="J137" i="13"/>
  <c r="J163" i="13"/>
  <c r="AB135" i="13"/>
  <c r="P124" i="13"/>
  <c r="Q150" i="13"/>
  <c r="J150" i="13"/>
  <c r="J140" i="13"/>
  <c r="J169" i="13"/>
  <c r="AB171" i="13"/>
  <c r="J164" i="13"/>
  <c r="J171" i="13"/>
  <c r="AB173" i="13"/>
  <c r="J182" i="13"/>
  <c r="AB139" i="13"/>
  <c r="AB186" i="13"/>
  <c r="L9" i="34"/>
  <c r="T8" i="13" s="1"/>
  <c r="L8" i="34"/>
  <c r="L7" i="34"/>
  <c r="T6" i="13" s="1"/>
  <c r="L10" i="34"/>
  <c r="T9" i="13" s="1"/>
  <c r="K5" i="34"/>
  <c r="L11" i="34"/>
  <c r="T10" i="13" s="1"/>
  <c r="L12" i="34"/>
  <c r="T11" i="13" s="1"/>
  <c r="L13" i="34"/>
  <c r="T12" i="13" s="1"/>
  <c r="L14" i="34"/>
  <c r="T13" i="13" s="1"/>
  <c r="L15" i="34"/>
  <c r="T14" i="13" s="1"/>
  <c r="L16" i="34"/>
  <c r="T15" i="13" s="1"/>
  <c r="L17" i="34"/>
  <c r="T16" i="13" s="1"/>
  <c r="L18" i="34"/>
  <c r="T17" i="13" s="1"/>
  <c r="L19" i="34"/>
  <c r="T18" i="13" s="1"/>
  <c r="L20" i="34"/>
  <c r="T19" i="13" s="1"/>
  <c r="L21" i="34"/>
  <c r="T20" i="13" s="1"/>
  <c r="L22" i="34"/>
  <c r="T21" i="13" s="1"/>
  <c r="L23" i="34"/>
  <c r="T22" i="13" s="1"/>
  <c r="L24" i="34"/>
  <c r="T23" i="13" s="1"/>
  <c r="L25" i="34"/>
  <c r="T24" i="13" s="1"/>
  <c r="L26" i="34"/>
  <c r="T25" i="13" s="1"/>
  <c r="L27" i="34"/>
  <c r="T26" i="13" s="1"/>
  <c r="L28" i="34"/>
  <c r="T27" i="13" s="1"/>
  <c r="L29" i="34"/>
  <c r="T28" i="13" s="1"/>
  <c r="L30" i="34"/>
  <c r="T29" i="13" s="1"/>
  <c r="L31" i="34"/>
  <c r="T30" i="13" s="1"/>
  <c r="L32" i="34"/>
  <c r="T31" i="13" s="1"/>
  <c r="Q83" i="13"/>
  <c r="J83" i="13"/>
  <c r="J161" i="13"/>
  <c r="S75" i="13"/>
  <c r="P168" i="13"/>
  <c r="AB108" i="13"/>
  <c r="Q136" i="13"/>
  <c r="J136" i="13"/>
  <c r="P145" i="13"/>
  <c r="P115" i="13"/>
  <c r="Q130" i="13"/>
  <c r="S130" i="13" s="1"/>
  <c r="J130" i="13"/>
  <c r="AB178" i="13"/>
  <c r="AB153" i="13"/>
  <c r="P139" i="13"/>
  <c r="P123" i="13"/>
  <c r="AB80" i="13"/>
  <c r="P185" i="13"/>
  <c r="AB187" i="13"/>
  <c r="P102" i="13"/>
  <c r="P180" i="13"/>
  <c r="AB168" i="13"/>
  <c r="P187" i="13"/>
  <c r="P97" i="13"/>
  <c r="P134" i="13"/>
  <c r="AB147" i="13"/>
  <c r="L55" i="34"/>
  <c r="K49" i="34"/>
  <c r="Q86" i="13"/>
  <c r="S86" i="13" s="1"/>
  <c r="J86" i="13"/>
  <c r="Q119" i="13"/>
  <c r="S119" i="13" s="1"/>
  <c r="J119" i="13"/>
  <c r="AB79" i="13"/>
  <c r="Q118" i="13"/>
  <c r="J118" i="13"/>
  <c r="P144" i="13"/>
  <c r="Q148" i="13"/>
  <c r="J148" i="13"/>
  <c r="Q153" i="13"/>
  <c r="J153" i="13"/>
  <c r="Q152" i="13"/>
  <c r="S152" i="13" s="1"/>
  <c r="J152" i="13"/>
  <c r="J84" i="13"/>
  <c r="P105" i="13"/>
  <c r="Q145" i="13"/>
  <c r="J145" i="13"/>
  <c r="J179" i="13"/>
  <c r="AB181" i="13"/>
  <c r="Q115" i="13"/>
  <c r="S115" i="13" s="1"/>
  <c r="J115" i="13"/>
  <c r="P91" i="13"/>
  <c r="P112" i="13"/>
  <c r="AB105" i="13"/>
  <c r="Q139" i="13"/>
  <c r="J139" i="13"/>
  <c r="P108" i="13"/>
  <c r="J185" i="13"/>
  <c r="J180" i="13"/>
  <c r="AB184" i="13"/>
  <c r="J187" i="13"/>
  <c r="P85" i="13"/>
  <c r="J134" i="13"/>
  <c r="J88" i="13"/>
  <c r="Q147" i="13"/>
  <c r="S147" i="13" s="1"/>
  <c r="J147" i="13"/>
  <c r="Q102" i="13"/>
  <c r="AB102" i="13"/>
  <c r="Q122" i="13"/>
  <c r="J122" i="13"/>
  <c r="AB154" i="13"/>
  <c r="S124" i="13"/>
  <c r="Q168" i="13"/>
  <c r="S168" i="13" s="1"/>
  <c r="J168" i="13"/>
  <c r="P116" i="13"/>
  <c r="Q154" i="13"/>
  <c r="J154" i="13"/>
  <c r="Q144" i="13"/>
  <c r="J144" i="13"/>
  <c r="P83" i="13"/>
  <c r="J105" i="13"/>
  <c r="AB176" i="13"/>
  <c r="Q103" i="13"/>
  <c r="AB103" i="13"/>
  <c r="Q138" i="13"/>
  <c r="S138" i="13" s="1"/>
  <c r="J138" i="13"/>
  <c r="Q94" i="13"/>
  <c r="S94" i="13" s="1"/>
  <c r="J94" i="13"/>
  <c r="P160" i="13"/>
  <c r="P147" i="13"/>
  <c r="P167" i="13"/>
  <c r="AB169" i="13"/>
  <c r="J108" i="13"/>
  <c r="P178" i="13"/>
  <c r="AB166" i="13"/>
  <c r="AB75" i="13"/>
  <c r="P104" i="13"/>
  <c r="Q127" i="13"/>
  <c r="S127" i="13" s="1"/>
  <c r="AB127" i="13"/>
  <c r="P133" i="13"/>
  <c r="AB146" i="13"/>
  <c r="Q85" i="13"/>
  <c r="J85" i="13"/>
  <c r="AB95" i="13"/>
  <c r="S121" i="13"/>
  <c r="AB87" i="13"/>
  <c r="P114" i="13"/>
  <c r="P142" i="13"/>
  <c r="P157" i="13"/>
  <c r="AB159" i="13"/>
  <c r="M7" i="34"/>
  <c r="U6" i="13" s="1"/>
  <c r="M8" i="34"/>
  <c r="U7" i="13" s="1"/>
  <c r="M9" i="34"/>
  <c r="U8" i="13" s="1"/>
  <c r="M10" i="34"/>
  <c r="U9" i="13" s="1"/>
  <c r="M11" i="34"/>
  <c r="U10" i="13" s="1"/>
  <c r="M12" i="34"/>
  <c r="U11" i="13" s="1"/>
  <c r="M13" i="34"/>
  <c r="U12" i="13" s="1"/>
  <c r="M14" i="34"/>
  <c r="U13" i="13" s="1"/>
  <c r="M15" i="34"/>
  <c r="U14" i="13" s="1"/>
  <c r="M16" i="34"/>
  <c r="U15" i="13" s="1"/>
  <c r="M17" i="34"/>
  <c r="U16" i="13" s="1"/>
  <c r="M18" i="34"/>
  <c r="U17" i="13" s="1"/>
  <c r="M19" i="34"/>
  <c r="U18" i="13" s="1"/>
  <c r="M20" i="34"/>
  <c r="U19" i="13" s="1"/>
  <c r="M21" i="34"/>
  <c r="U20" i="13" s="1"/>
  <c r="M22" i="34"/>
  <c r="U21" i="13" s="1"/>
  <c r="M23" i="34"/>
  <c r="U22" i="13" s="1"/>
  <c r="M24" i="34"/>
  <c r="U23" i="13" s="1"/>
  <c r="M25" i="34"/>
  <c r="U24" i="13" s="1"/>
  <c r="M26" i="34"/>
  <c r="U25" i="13" s="1"/>
  <c r="M27" i="34"/>
  <c r="U26" i="13" s="1"/>
  <c r="M28" i="34"/>
  <c r="U27" i="13" s="1"/>
  <c r="M29" i="34"/>
  <c r="U28" i="13" s="1"/>
  <c r="M30" i="34"/>
  <c r="U29" i="13" s="1"/>
  <c r="M31" i="34"/>
  <c r="U30" i="13" s="1"/>
  <c r="M32" i="34"/>
  <c r="U31" i="13" s="1"/>
  <c r="X31" i="13" s="1"/>
  <c r="Q117" i="13"/>
  <c r="S117" i="13" s="1"/>
  <c r="J117" i="13"/>
  <c r="AB115" i="13"/>
  <c r="Q106" i="13"/>
  <c r="J106" i="13"/>
  <c r="Q105" i="13"/>
  <c r="A24" i="24"/>
  <c r="AF31" i="13"/>
  <c r="T32" i="13"/>
  <c r="U32" i="13"/>
  <c r="V31" i="13"/>
  <c r="W31" i="13"/>
  <c r="A32" i="2"/>
  <c r="A22" i="16"/>
  <c r="K35" i="34"/>
  <c r="B31" i="33"/>
  <c r="M34" i="34"/>
  <c r="L34" i="34"/>
  <c r="Q33" i="34"/>
  <c r="N44" i="34"/>
  <c r="E39" i="33"/>
  <c r="D40" i="33"/>
  <c r="F39" i="33"/>
  <c r="Q175" i="13"/>
  <c r="S175" i="13" s="1"/>
  <c r="Q129" i="13"/>
  <c r="Q91" i="13"/>
  <c r="S91" i="13" s="1"/>
  <c r="Q104" i="13"/>
  <c r="Q184" i="13"/>
  <c r="R125" i="13"/>
  <c r="R143" i="13"/>
  <c r="Q131" i="13"/>
  <c r="R126" i="13"/>
  <c r="Q135" i="13"/>
  <c r="S135" i="13" s="1"/>
  <c r="Q87" i="13"/>
  <c r="S87" i="13" s="1"/>
  <c r="Q186" i="13"/>
  <c r="Q84" i="13"/>
  <c r="Q107" i="13"/>
  <c r="R90" i="13"/>
  <c r="R150" i="13"/>
  <c r="R151" i="13"/>
  <c r="R169" i="13"/>
  <c r="R106" i="13"/>
  <c r="R102" i="13"/>
  <c r="R184" i="13"/>
  <c r="Q179" i="13"/>
  <c r="R144" i="13"/>
  <c r="Q88" i="13"/>
  <c r="R130" i="13"/>
  <c r="R107" i="13"/>
  <c r="R172" i="13"/>
  <c r="Q167" i="13"/>
  <c r="R85" i="13"/>
  <c r="R94" i="13"/>
  <c r="R158" i="13"/>
  <c r="Q185" i="13"/>
  <c r="Q164" i="13"/>
  <c r="S164" i="13" s="1"/>
  <c r="R176" i="13"/>
  <c r="Q125" i="13"/>
  <c r="S125" i="13" s="1"/>
  <c r="R101" i="13"/>
  <c r="R78" i="13"/>
  <c r="R81" i="13"/>
  <c r="R145" i="13"/>
  <c r="R100" i="13"/>
  <c r="R133" i="13"/>
  <c r="R104" i="13"/>
  <c r="Q112" i="13"/>
  <c r="S112" i="13" s="1"/>
  <c r="R170" i="13"/>
  <c r="Q165" i="13"/>
  <c r="R120" i="13"/>
  <c r="Q140" i="13"/>
  <c r="Q171" i="13"/>
  <c r="R92" i="13"/>
  <c r="S92" i="13" s="1"/>
  <c r="R116" i="13"/>
  <c r="Q101" i="13"/>
  <c r="S101" i="13" s="1"/>
  <c r="Q134" i="13"/>
  <c r="R165" i="13"/>
  <c r="R122" i="13"/>
  <c r="Q149" i="13"/>
  <c r="S149" i="13" s="1"/>
  <c r="R166" i="13"/>
  <c r="Q161" i="13"/>
  <c r="S161" i="13" s="1"/>
  <c r="R185" i="13"/>
  <c r="R141" i="13"/>
  <c r="R142" i="13"/>
  <c r="R82" i="13"/>
  <c r="S82" i="13" s="1"/>
  <c r="Q156" i="13"/>
  <c r="R155" i="13"/>
  <c r="R115" i="13"/>
  <c r="R188" i="13"/>
  <c r="Q183" i="13"/>
  <c r="Q108" i="13"/>
  <c r="S108" i="13" s="1"/>
  <c r="R174" i="13"/>
  <c r="R161" i="13"/>
  <c r="R129" i="13"/>
  <c r="R132" i="13"/>
  <c r="Q180" i="13"/>
  <c r="R153" i="13"/>
  <c r="R91" i="13"/>
  <c r="R162" i="13"/>
  <c r="R89" i="13"/>
  <c r="Q158" i="13"/>
  <c r="S158" i="13" s="1"/>
  <c r="R186" i="13"/>
  <c r="Q181" i="13"/>
  <c r="Q160" i="13"/>
  <c r="Q162" i="13"/>
  <c r="R148" i="13"/>
  <c r="Q96" i="13"/>
  <c r="S96" i="13" s="1"/>
  <c r="Q187" i="13"/>
  <c r="R112" i="13"/>
  <c r="Q114" i="13"/>
  <c r="Q142" i="13"/>
  <c r="S142" i="13" s="1"/>
  <c r="Q157" i="13"/>
  <c r="R181" i="13"/>
  <c r="Q151" i="13"/>
  <c r="R167" i="13"/>
  <c r="R182" i="13"/>
  <c r="Q177" i="13"/>
  <c r="Q172" i="13"/>
  <c r="R171" i="13"/>
  <c r="R123" i="13"/>
  <c r="R87" i="13"/>
  <c r="R80" i="13"/>
  <c r="R95" i="13"/>
  <c r="R159" i="13"/>
  <c r="R177" i="13"/>
  <c r="R134" i="13"/>
  <c r="Q126" i="13"/>
  <c r="R99" i="13"/>
  <c r="S99" i="13" s="1"/>
  <c r="Q133" i="13"/>
  <c r="S133" i="13" s="1"/>
  <c r="R146" i="13"/>
  <c r="R131" i="13"/>
  <c r="R178" i="13"/>
  <c r="R103" i="13"/>
  <c r="R164" i="13"/>
  <c r="R77" i="13"/>
  <c r="R121" i="13"/>
  <c r="R93" i="13"/>
  <c r="Q174" i="13"/>
  <c r="S174" i="13" s="1"/>
  <c r="R157" i="13"/>
  <c r="R119" i="13"/>
  <c r="Q176" i="13"/>
  <c r="S176" i="13" s="1"/>
  <c r="Q178" i="13"/>
  <c r="S178" i="13" s="1"/>
  <c r="R76" i="13"/>
  <c r="R96" i="13"/>
  <c r="R163" i="13"/>
  <c r="R75" i="13"/>
  <c r="Q166" i="13"/>
  <c r="S166" i="13" s="1"/>
  <c r="Q173" i="13"/>
  <c r="R140" i="13"/>
  <c r="R139" i="13"/>
  <c r="R183" i="13"/>
  <c r="R108" i="13"/>
  <c r="Q188" i="13"/>
  <c r="S188" i="13" s="1"/>
  <c r="R168" i="13"/>
  <c r="Q163" i="13"/>
  <c r="S163" i="13" s="1"/>
  <c r="R187" i="13"/>
  <c r="R83" i="13"/>
  <c r="R113" i="13"/>
  <c r="S113" i="13" s="1"/>
  <c r="Q110" i="13"/>
  <c r="R79" i="13"/>
  <c r="S79" i="13" s="1"/>
  <c r="R156" i="13"/>
  <c r="R175" i="13"/>
  <c r="Q93" i="13"/>
  <c r="S93" i="13" s="1"/>
  <c r="Q169" i="13"/>
  <c r="S169" i="13" s="1"/>
  <c r="R110" i="13"/>
  <c r="Q141" i="13"/>
  <c r="R160" i="13"/>
  <c r="R98" i="13"/>
  <c r="R180" i="13"/>
  <c r="R136" i="13"/>
  <c r="R105" i="13"/>
  <c r="R118" i="13"/>
  <c r="R109" i="13"/>
  <c r="R154" i="13"/>
  <c r="R173" i="13"/>
  <c r="R84" i="13"/>
  <c r="Q81" i="13"/>
  <c r="S81" i="13" s="1"/>
  <c r="R88" i="13"/>
  <c r="R114" i="13"/>
  <c r="R97" i="13"/>
  <c r="Q132" i="13"/>
  <c r="S132" i="13" s="1"/>
  <c r="Q155" i="13"/>
  <c r="S155" i="13" s="1"/>
  <c r="R179" i="13"/>
  <c r="R117" i="13"/>
  <c r="Q95" i="13"/>
  <c r="Q182" i="13"/>
  <c r="S182" i="13" s="1"/>
  <c r="X16" i="13" l="1"/>
  <c r="AF16" i="13"/>
  <c r="V27" i="13"/>
  <c r="W27" i="13"/>
  <c r="Y27" i="13" s="1"/>
  <c r="V19" i="13"/>
  <c r="W19" i="13"/>
  <c r="Y19" i="13" s="1"/>
  <c r="W11" i="13"/>
  <c r="V11" i="13"/>
  <c r="S151" i="13"/>
  <c r="S183" i="13"/>
  <c r="S129" i="13"/>
  <c r="S105" i="13"/>
  <c r="X23" i="13"/>
  <c r="AF23" i="13"/>
  <c r="AF15" i="13"/>
  <c r="X15" i="13"/>
  <c r="X7" i="13"/>
  <c r="V26" i="13"/>
  <c r="W26" i="13"/>
  <c r="W18" i="13"/>
  <c r="V18" i="13"/>
  <c r="V10" i="13"/>
  <c r="W10" i="13"/>
  <c r="S150" i="13"/>
  <c r="AF24" i="13"/>
  <c r="X24" i="13"/>
  <c r="S162" i="13"/>
  <c r="S153" i="13"/>
  <c r="V25" i="13"/>
  <c r="W25" i="13"/>
  <c r="Y25" i="13" s="1"/>
  <c r="S157" i="13"/>
  <c r="S160" i="13"/>
  <c r="S180" i="13"/>
  <c r="S171" i="13"/>
  <c r="S185" i="13"/>
  <c r="S88" i="13"/>
  <c r="S131" i="13"/>
  <c r="F40" i="33"/>
  <c r="S106" i="13"/>
  <c r="AF29" i="13"/>
  <c r="X29" i="13"/>
  <c r="X21" i="13"/>
  <c r="AF21" i="13"/>
  <c r="AF13" i="13"/>
  <c r="X13" i="13"/>
  <c r="S85" i="13"/>
  <c r="S144" i="13"/>
  <c r="S139" i="13"/>
  <c r="S83" i="13"/>
  <c r="V24" i="13"/>
  <c r="W24" i="13"/>
  <c r="Y24" i="13" s="1"/>
  <c r="W16" i="13"/>
  <c r="Y16" i="13" s="1"/>
  <c r="V16" i="13"/>
  <c r="AF9" i="13"/>
  <c r="V9" i="13"/>
  <c r="W9" i="13"/>
  <c r="AF22" i="13"/>
  <c r="X22" i="13"/>
  <c r="W17" i="13"/>
  <c r="V17" i="13"/>
  <c r="S110" i="13"/>
  <c r="S126" i="13"/>
  <c r="S181" i="13"/>
  <c r="S140" i="13"/>
  <c r="X28" i="13"/>
  <c r="AF28" i="13"/>
  <c r="X20" i="13"/>
  <c r="AF20" i="13"/>
  <c r="X12" i="13"/>
  <c r="AF12" i="13"/>
  <c r="S145" i="13"/>
  <c r="S148" i="13"/>
  <c r="V23" i="13"/>
  <c r="W23" i="13"/>
  <c r="V15" i="13"/>
  <c r="W15" i="13"/>
  <c r="Y15" i="13" s="1"/>
  <c r="AF6" i="13"/>
  <c r="V6" i="13"/>
  <c r="S159" i="13"/>
  <c r="S120" i="13"/>
  <c r="X8" i="13"/>
  <c r="AF8" i="13"/>
  <c r="X30" i="13"/>
  <c r="AF30" i="13"/>
  <c r="S141" i="13"/>
  <c r="S172" i="13"/>
  <c r="S114" i="13"/>
  <c r="S156" i="13"/>
  <c r="S179" i="13"/>
  <c r="S107" i="13"/>
  <c r="X27" i="13"/>
  <c r="AF27" i="13"/>
  <c r="X19" i="13"/>
  <c r="AF19" i="13"/>
  <c r="X11" i="13"/>
  <c r="AF11" i="13"/>
  <c r="S154" i="13"/>
  <c r="S122" i="13"/>
  <c r="K55" i="34"/>
  <c r="S136" i="13"/>
  <c r="V30" i="13"/>
  <c r="W30" i="13"/>
  <c r="Y30" i="13" s="1"/>
  <c r="W22" i="13"/>
  <c r="Y22" i="13" s="1"/>
  <c r="V22" i="13"/>
  <c r="W14" i="13"/>
  <c r="V14" i="13"/>
  <c r="T7" i="13"/>
  <c r="S100" i="13"/>
  <c r="S97" i="13"/>
  <c r="S123" i="13"/>
  <c r="S95" i="13"/>
  <c r="S177" i="13"/>
  <c r="S165" i="13"/>
  <c r="S84" i="13"/>
  <c r="S184" i="13"/>
  <c r="X26" i="13"/>
  <c r="AF26" i="13"/>
  <c r="AF18" i="13"/>
  <c r="X18" i="13"/>
  <c r="AF10" i="13"/>
  <c r="X10" i="13"/>
  <c r="S103" i="13"/>
  <c r="W29" i="13"/>
  <c r="Y29" i="13" s="1"/>
  <c r="V29" i="13"/>
  <c r="W21" i="13"/>
  <c r="Y21" i="13" s="1"/>
  <c r="V21" i="13"/>
  <c r="W13" i="13"/>
  <c r="V13" i="13"/>
  <c r="V8" i="13"/>
  <c r="S143" i="13"/>
  <c r="AF14" i="13"/>
  <c r="X14" i="13"/>
  <c r="S173" i="13"/>
  <c r="S187" i="13"/>
  <c r="S134" i="13"/>
  <c r="S167" i="13"/>
  <c r="S186" i="13"/>
  <c r="S104" i="13"/>
  <c r="AF25" i="13"/>
  <c r="X25" i="13"/>
  <c r="X17" i="13"/>
  <c r="AF17" i="13"/>
  <c r="X9" i="13"/>
  <c r="S102" i="13"/>
  <c r="S118" i="13"/>
  <c r="W28" i="13"/>
  <c r="Y28" i="13" s="1"/>
  <c r="V28" i="13"/>
  <c r="V20" i="13"/>
  <c r="W20" i="13"/>
  <c r="Y20" i="13" s="1"/>
  <c r="V12" i="13"/>
  <c r="W12" i="13"/>
  <c r="S80" i="13"/>
  <c r="S170" i="13"/>
  <c r="A25" i="24"/>
  <c r="Y31" i="13"/>
  <c r="X32" i="13"/>
  <c r="AF32" i="13"/>
  <c r="T33" i="13"/>
  <c r="U33" i="13"/>
  <c r="V32" i="13"/>
  <c r="W32" i="13"/>
  <c r="A33" i="2"/>
  <c r="A23" i="16"/>
  <c r="K36" i="34"/>
  <c r="B32" i="33"/>
  <c r="N45" i="34"/>
  <c r="E40" i="33"/>
  <c r="D41" i="33"/>
  <c r="L35" i="34"/>
  <c r="M35" i="34"/>
  <c r="Q34" i="34"/>
  <c r="Y13" i="13" l="1"/>
  <c r="Y9" i="13"/>
  <c r="Y10" i="13"/>
  <c r="Y11" i="13"/>
  <c r="Y18" i="13"/>
  <c r="Y17" i="13"/>
  <c r="Y26" i="13"/>
  <c r="AF7" i="13"/>
  <c r="V7" i="13"/>
  <c r="W7" i="13"/>
  <c r="Y7" i="13" s="1"/>
  <c r="W8" i="13"/>
  <c r="Y8" i="13" s="1"/>
  <c r="Y12" i="13"/>
  <c r="Y14" i="13"/>
  <c r="Y23" i="13"/>
  <c r="Y32" i="13"/>
  <c r="A26" i="24"/>
  <c r="X33" i="13"/>
  <c r="AF33" i="13"/>
  <c r="T34" i="13"/>
  <c r="W33" i="13"/>
  <c r="V33" i="13"/>
  <c r="U34" i="13"/>
  <c r="A34" i="2"/>
  <c r="A24" i="16"/>
  <c r="K37" i="34"/>
  <c r="B33" i="33"/>
  <c r="N46" i="34"/>
  <c r="E41" i="33"/>
  <c r="D42" i="33"/>
  <c r="M36" i="34"/>
  <c r="L36" i="34"/>
  <c r="Q35" i="34"/>
  <c r="F41" i="33"/>
  <c r="D5" i="7"/>
  <c r="A27" i="24" l="1"/>
  <c r="Y33" i="13"/>
  <c r="X34" i="13"/>
  <c r="AF34" i="13"/>
  <c r="V34" i="13"/>
  <c r="W34" i="13"/>
  <c r="Y34" i="13" s="1"/>
  <c r="T35" i="13"/>
  <c r="U35" i="13"/>
  <c r="A35" i="2"/>
  <c r="A25" i="16"/>
  <c r="F42" i="33"/>
  <c r="K38" i="34"/>
  <c r="B34" i="33"/>
  <c r="N47" i="34"/>
  <c r="N52" i="34" s="1"/>
  <c r="E42" i="33"/>
  <c r="D43" i="33"/>
  <c r="M37" i="34"/>
  <c r="L37" i="34"/>
  <c r="Q36" i="34"/>
  <c r="A28" i="24" l="1"/>
  <c r="X35" i="13"/>
  <c r="AF35" i="13"/>
  <c r="V35" i="13"/>
  <c r="W35" i="13"/>
  <c r="U36" i="13"/>
  <c r="T36" i="13"/>
  <c r="A36" i="2"/>
  <c r="A26" i="16"/>
  <c r="K39" i="34"/>
  <c r="B35" i="33"/>
  <c r="M38" i="34"/>
  <c r="L38" i="34"/>
  <c r="Q37" i="34"/>
  <c r="N48" i="34"/>
  <c r="N53" i="34" s="1"/>
  <c r="E43" i="33"/>
  <c r="F43" i="33"/>
  <c r="F44" i="33" s="1"/>
  <c r="F45" i="33" s="1"/>
  <c r="F46" i="33" s="1"/>
  <c r="F47" i="33" s="1"/>
  <c r="F48" i="33" s="1"/>
  <c r="F49" i="33" s="1"/>
  <c r="F50" i="33" s="1"/>
  <c r="F51" i="33" s="1"/>
  <c r="F52" i="33" s="1"/>
  <c r="F53" i="33" s="1"/>
  <c r="F54" i="33" s="1"/>
  <c r="F55" i="33" s="1"/>
  <c r="F56" i="33" s="1"/>
  <c r="F57" i="33" s="1"/>
  <c r="F58" i="33" s="1"/>
  <c r="F59" i="33" s="1"/>
  <c r="F60" i="33" s="1"/>
  <c r="F61" i="33" s="1"/>
  <c r="F62" i="33" s="1"/>
  <c r="F63" i="33" s="1"/>
  <c r="F64" i="33" s="1"/>
  <c r="F65" i="33" s="1"/>
  <c r="F66" i="33" s="1"/>
  <c r="F67" i="33" s="1"/>
  <c r="F68" i="33" s="1"/>
  <c r="F69" i="33" s="1"/>
  <c r="F70" i="33" s="1"/>
  <c r="F71" i="33" s="1"/>
  <c r="F72" i="33" s="1"/>
  <c r="F73" i="33" s="1"/>
  <c r="F74" i="33" s="1"/>
  <c r="F75" i="33" s="1"/>
  <c r="F76" i="33" s="1"/>
  <c r="F77" i="33" s="1"/>
  <c r="F78" i="33" s="1"/>
  <c r="F79" i="33" s="1"/>
  <c r="F80" i="33" s="1"/>
  <c r="F81" i="33" s="1"/>
  <c r="F82" i="33" s="1"/>
  <c r="F83" i="33" s="1"/>
  <c r="F84" i="33" s="1"/>
  <c r="F85" i="33" s="1"/>
  <c r="F86" i="33" s="1"/>
  <c r="F87" i="33" s="1"/>
  <c r="F88" i="33" s="1"/>
  <c r="F89" i="33" s="1"/>
  <c r="F90" i="33" s="1"/>
  <c r="F91" i="33" s="1"/>
  <c r="F92" i="33" s="1"/>
  <c r="F93" i="33" s="1"/>
  <c r="F94" i="33" s="1"/>
  <c r="F95" i="33" s="1"/>
  <c r="F96" i="33" s="1"/>
  <c r="F97" i="33" s="1"/>
  <c r="F98" i="33" s="1"/>
  <c r="F99" i="33" s="1"/>
  <c r="F100" i="33" s="1"/>
  <c r="F101" i="33" s="1"/>
  <c r="F102" i="33" s="1"/>
  <c r="F103" i="33" s="1"/>
  <c r="F104" i="33" s="1"/>
  <c r="F105" i="33" s="1"/>
  <c r="F106" i="33" s="1"/>
  <c r="F107" i="33" s="1"/>
  <c r="F108" i="33" s="1"/>
  <c r="F109" i="33" s="1"/>
  <c r="F110" i="33" s="1"/>
  <c r="F111" i="33" s="1"/>
  <c r="F112" i="33" s="1"/>
  <c r="F113" i="33" s="1"/>
  <c r="F114" i="33" s="1"/>
  <c r="F115" i="33" s="1"/>
  <c r="F116" i="33" s="1"/>
  <c r="F117" i="33" s="1"/>
  <c r="F118" i="33" s="1"/>
  <c r="F119" i="33" s="1"/>
  <c r="F120" i="33" s="1"/>
  <c r="F121" i="33" s="1"/>
  <c r="F122" i="33" s="1"/>
  <c r="F123" i="33" s="1"/>
  <c r="F124" i="33" s="1"/>
  <c r="F125" i="33" s="1"/>
  <c r="F126" i="33" s="1"/>
  <c r="F127" i="33" s="1"/>
  <c r="F128" i="33" s="1"/>
  <c r="F129" i="33" s="1"/>
  <c r="F130" i="33" s="1"/>
  <c r="F131" i="33" s="1"/>
  <c r="F132" i="33" s="1"/>
  <c r="F133" i="33" s="1"/>
  <c r="F134" i="33" s="1"/>
  <c r="F135" i="33" s="1"/>
  <c r="F136" i="33" s="1"/>
  <c r="F137" i="33" s="1"/>
  <c r="F138" i="33" s="1"/>
  <c r="F139" i="33" s="1"/>
  <c r="F140" i="33" s="1"/>
  <c r="F141" i="33" s="1"/>
  <c r="F142" i="33" s="1"/>
  <c r="F143" i="33" s="1"/>
  <c r="F144" i="33" s="1"/>
  <c r="F145" i="33" s="1"/>
  <c r="F146" i="33" s="1"/>
  <c r="F147" i="33" s="1"/>
  <c r="F148" i="33" s="1"/>
  <c r="F149" i="33" s="1"/>
  <c r="F150" i="33" s="1"/>
  <c r="F151" i="33" s="1"/>
  <c r="F152" i="33" s="1"/>
  <c r="F153" i="33" s="1"/>
  <c r="F154" i="33" s="1"/>
  <c r="F155" i="33" s="1"/>
  <c r="F156" i="33" s="1"/>
  <c r="F157" i="33" s="1"/>
  <c r="F158" i="33" s="1"/>
  <c r="F159" i="33" s="1"/>
  <c r="F160" i="33" s="1"/>
  <c r="F161" i="33" s="1"/>
  <c r="F162" i="33" s="1"/>
  <c r="F163" i="33" s="1"/>
  <c r="F164" i="33" s="1"/>
  <c r="F165" i="33" s="1"/>
  <c r="F166" i="33" s="1"/>
  <c r="F167" i="33" s="1"/>
  <c r="F168" i="33" s="1"/>
  <c r="F169" i="33" s="1"/>
  <c r="F170" i="33" s="1"/>
  <c r="F171" i="33" s="1"/>
  <c r="F172" i="33" s="1"/>
  <c r="F173" i="33" s="1"/>
  <c r="F174" i="33" s="1"/>
  <c r="F175" i="33" s="1"/>
  <c r="F176" i="33" s="1"/>
  <c r="F177" i="33" s="1"/>
  <c r="F178" i="33" s="1"/>
  <c r="F179" i="33" s="1"/>
  <c r="F180" i="33" s="1"/>
  <c r="F181" i="33" s="1"/>
  <c r="F182" i="33" s="1"/>
  <c r="F183" i="33" s="1"/>
  <c r="B2" i="7"/>
  <c r="B10" i="7" s="1"/>
  <c r="H3" i="8" l="1"/>
  <c r="R3" i="8" s="1"/>
  <c r="Y35" i="13"/>
  <c r="A29" i="24"/>
  <c r="X36" i="13"/>
  <c r="AF36" i="13"/>
  <c r="T37" i="13"/>
  <c r="U37" i="13"/>
  <c r="V36" i="13"/>
  <c r="W36" i="13"/>
  <c r="A37" i="2"/>
  <c r="A27" i="16"/>
  <c r="L39" i="34"/>
  <c r="M39" i="34"/>
  <c r="Q38" i="34"/>
  <c r="K40" i="34"/>
  <c r="B36" i="33"/>
  <c r="B1" i="15"/>
  <c r="B10" i="15" s="1"/>
  <c r="B1" i="23"/>
  <c r="B10" i="23" s="1"/>
  <c r="A30" i="24" l="1"/>
  <c r="B30" i="25" s="1"/>
  <c r="Y36" i="13"/>
  <c r="X37" i="13"/>
  <c r="AF37" i="13"/>
  <c r="T38" i="13"/>
  <c r="U38" i="13"/>
  <c r="W37" i="13"/>
  <c r="V37" i="13"/>
  <c r="I3" i="8"/>
  <c r="B5" i="46" s="1"/>
  <c r="D5" i="46" s="1"/>
  <c r="B3" i="8"/>
  <c r="I4" i="8"/>
  <c r="G4" i="8" s="1"/>
  <c r="B4" i="8"/>
  <c r="B5" i="8"/>
  <c r="I5" i="8"/>
  <c r="G5" i="8" s="1"/>
  <c r="B6" i="8"/>
  <c r="I6" i="8"/>
  <c r="G6" i="8" s="1"/>
  <c r="I7" i="8"/>
  <c r="G7" i="8" s="1"/>
  <c r="B7" i="8"/>
  <c r="I8" i="8"/>
  <c r="G8" i="8" s="1"/>
  <c r="B8" i="8"/>
  <c r="B9" i="8"/>
  <c r="I9" i="8"/>
  <c r="G9" i="8" s="1"/>
  <c r="I10" i="8"/>
  <c r="G10" i="8" s="1"/>
  <c r="B10" i="8"/>
  <c r="I11" i="8"/>
  <c r="G11" i="8" s="1"/>
  <c r="B11" i="8"/>
  <c r="I12" i="8"/>
  <c r="G12" i="8" s="1"/>
  <c r="B12" i="8"/>
  <c r="I13" i="8"/>
  <c r="G13" i="8" s="1"/>
  <c r="B13" i="8"/>
  <c r="I14" i="8"/>
  <c r="G14" i="8" s="1"/>
  <c r="B14" i="8"/>
  <c r="I15" i="8"/>
  <c r="G15" i="8" s="1"/>
  <c r="B15" i="8"/>
  <c r="B16" i="8"/>
  <c r="I16" i="8"/>
  <c r="G16" i="8" s="1"/>
  <c r="B17" i="8"/>
  <c r="I17" i="8"/>
  <c r="G17" i="8" s="1"/>
  <c r="I18" i="8"/>
  <c r="G18" i="8" s="1"/>
  <c r="B18" i="8"/>
  <c r="I19" i="8"/>
  <c r="G19" i="8" s="1"/>
  <c r="B19" i="8"/>
  <c r="I20" i="8"/>
  <c r="G20" i="8" s="1"/>
  <c r="B20" i="8"/>
  <c r="I21" i="8"/>
  <c r="G21" i="8" s="1"/>
  <c r="B21" i="8"/>
  <c r="B22" i="8"/>
  <c r="I22" i="8"/>
  <c r="G22" i="8" s="1"/>
  <c r="B23" i="8"/>
  <c r="I23" i="8"/>
  <c r="G23" i="8" s="1"/>
  <c r="B24" i="8"/>
  <c r="I24" i="8"/>
  <c r="G24" i="8" s="1"/>
  <c r="B25" i="8"/>
  <c r="I25" i="8"/>
  <c r="G25" i="8" s="1"/>
  <c r="B26" i="8"/>
  <c r="I26" i="8"/>
  <c r="G26" i="8" s="1"/>
  <c r="I27" i="8"/>
  <c r="G27" i="8" s="1"/>
  <c r="B27" i="8"/>
  <c r="I28" i="8"/>
  <c r="G28" i="8" s="1"/>
  <c r="B28" i="8"/>
  <c r="B29" i="8"/>
  <c r="I29" i="8"/>
  <c r="G29" i="8" s="1"/>
  <c r="B30" i="8"/>
  <c r="I30" i="8"/>
  <c r="G30" i="8" s="1"/>
  <c r="B31" i="8"/>
  <c r="I31" i="8"/>
  <c r="G31" i="8" s="1"/>
  <c r="I32" i="8"/>
  <c r="G32" i="8" s="1"/>
  <c r="B32" i="8"/>
  <c r="I33" i="8"/>
  <c r="G33" i="8" s="1"/>
  <c r="B33" i="8"/>
  <c r="I34" i="8"/>
  <c r="G34" i="8" s="1"/>
  <c r="B34" i="8"/>
  <c r="I35" i="8"/>
  <c r="G35" i="8" s="1"/>
  <c r="B35" i="8"/>
  <c r="I37" i="8"/>
  <c r="G37" i="8" s="1"/>
  <c r="B37" i="8"/>
  <c r="A38" i="2"/>
  <c r="B36" i="8"/>
  <c r="I36" i="8"/>
  <c r="G36" i="8" s="1"/>
  <c r="I10" i="17"/>
  <c r="G10" i="17" s="1"/>
  <c r="I18" i="17"/>
  <c r="G18" i="17" s="1"/>
  <c r="I26" i="17"/>
  <c r="G26" i="17" s="1"/>
  <c r="I11" i="17"/>
  <c r="G11" i="17" s="1"/>
  <c r="I19" i="17"/>
  <c r="G19" i="17" s="1"/>
  <c r="I27" i="17"/>
  <c r="G27" i="17" s="1"/>
  <c r="I4" i="17"/>
  <c r="G4" i="17" s="1"/>
  <c r="I12" i="17"/>
  <c r="G12" i="17" s="1"/>
  <c r="I20" i="17"/>
  <c r="G20" i="17" s="1"/>
  <c r="I5" i="17"/>
  <c r="G5" i="17" s="1"/>
  <c r="I13" i="17"/>
  <c r="G13" i="17" s="1"/>
  <c r="I21" i="17"/>
  <c r="G21" i="17" s="1"/>
  <c r="B9" i="17"/>
  <c r="B17" i="17"/>
  <c r="B25" i="17"/>
  <c r="I6" i="17"/>
  <c r="G6" i="17" s="1"/>
  <c r="I14" i="17"/>
  <c r="G14" i="17" s="1"/>
  <c r="I22" i="17"/>
  <c r="G22" i="17" s="1"/>
  <c r="B10" i="17"/>
  <c r="B18" i="17"/>
  <c r="B26" i="17"/>
  <c r="I7" i="17"/>
  <c r="G7" i="17" s="1"/>
  <c r="I15" i="17"/>
  <c r="G15" i="17" s="1"/>
  <c r="I23" i="17"/>
  <c r="G23" i="17" s="1"/>
  <c r="I9" i="17"/>
  <c r="G9" i="17" s="1"/>
  <c r="I17" i="17"/>
  <c r="G17" i="17" s="1"/>
  <c r="I25" i="17"/>
  <c r="G25" i="17" s="1"/>
  <c r="B5" i="17"/>
  <c r="B13" i="17"/>
  <c r="B21" i="17"/>
  <c r="B12" i="17"/>
  <c r="B24" i="17"/>
  <c r="B11" i="17"/>
  <c r="I8" i="17"/>
  <c r="G8" i="17" s="1"/>
  <c r="B14" i="17"/>
  <c r="B27" i="17"/>
  <c r="B23" i="17"/>
  <c r="I16" i="17"/>
  <c r="G16" i="17" s="1"/>
  <c r="B15" i="17"/>
  <c r="I24" i="17"/>
  <c r="G24" i="17" s="1"/>
  <c r="B4" i="17"/>
  <c r="B16" i="17"/>
  <c r="B6" i="17"/>
  <c r="B19" i="17"/>
  <c r="I3" i="17"/>
  <c r="C5" i="47" s="1"/>
  <c r="D5" i="47" s="1"/>
  <c r="B7" i="17"/>
  <c r="B20" i="17"/>
  <c r="B3" i="17"/>
  <c r="B8" i="17"/>
  <c r="B22" i="17"/>
  <c r="I9" i="25"/>
  <c r="G9" i="25" s="1"/>
  <c r="I17" i="25"/>
  <c r="G17" i="25" s="1"/>
  <c r="I25" i="25"/>
  <c r="G25" i="25" s="1"/>
  <c r="I6" i="25"/>
  <c r="G6" i="25" s="1"/>
  <c r="I14" i="25"/>
  <c r="G14" i="25" s="1"/>
  <c r="I22" i="25"/>
  <c r="G22" i="25" s="1"/>
  <c r="I11" i="25"/>
  <c r="G11" i="25" s="1"/>
  <c r="I19" i="25"/>
  <c r="G19" i="25" s="1"/>
  <c r="I27" i="25"/>
  <c r="G27" i="25" s="1"/>
  <c r="I8" i="25"/>
  <c r="G8" i="25" s="1"/>
  <c r="I16" i="25"/>
  <c r="G16" i="25" s="1"/>
  <c r="I24" i="25"/>
  <c r="G24" i="25" s="1"/>
  <c r="I5" i="25"/>
  <c r="G5" i="25" s="1"/>
  <c r="I13" i="25"/>
  <c r="G13" i="25" s="1"/>
  <c r="I21" i="25"/>
  <c r="G21" i="25" s="1"/>
  <c r="I29" i="25"/>
  <c r="G29" i="25" s="1"/>
  <c r="I10" i="25"/>
  <c r="G10" i="25" s="1"/>
  <c r="I18" i="25"/>
  <c r="G18" i="25" s="1"/>
  <c r="I26" i="25"/>
  <c r="G26" i="25" s="1"/>
  <c r="I7" i="25"/>
  <c r="G7" i="25" s="1"/>
  <c r="I15" i="25"/>
  <c r="G15" i="25" s="1"/>
  <c r="I23" i="25"/>
  <c r="G23" i="25" s="1"/>
  <c r="I20" i="25"/>
  <c r="G20" i="25" s="1"/>
  <c r="I12" i="25"/>
  <c r="G12" i="25" s="1"/>
  <c r="I3" i="25"/>
  <c r="C5" i="48" s="1"/>
  <c r="D5" i="48" s="1"/>
  <c r="I28" i="25"/>
  <c r="G28" i="25" s="1"/>
  <c r="I4" i="25"/>
  <c r="G4" i="25" s="1"/>
  <c r="B11" i="25"/>
  <c r="B19" i="25"/>
  <c r="B27" i="25"/>
  <c r="B5" i="25"/>
  <c r="B13" i="25"/>
  <c r="B21" i="25"/>
  <c r="B29" i="25"/>
  <c r="B6" i="25"/>
  <c r="B14" i="25"/>
  <c r="B22" i="25"/>
  <c r="B15" i="25"/>
  <c r="B26" i="25"/>
  <c r="B7" i="25"/>
  <c r="B18" i="25"/>
  <c r="B8" i="25"/>
  <c r="B20" i="25"/>
  <c r="B9" i="25"/>
  <c r="B23" i="25"/>
  <c r="B12" i="25"/>
  <c r="B25" i="25"/>
  <c r="B3" i="25"/>
  <c r="B4" i="25"/>
  <c r="B10" i="25"/>
  <c r="B16" i="25"/>
  <c r="B17" i="25"/>
  <c r="B24" i="25"/>
  <c r="B28" i="25"/>
  <c r="A28" i="16"/>
  <c r="K41" i="34"/>
  <c r="B37" i="33"/>
  <c r="M40" i="34"/>
  <c r="L40" i="34"/>
  <c r="Q39" i="34"/>
  <c r="B7" i="46" l="1"/>
  <c r="D7" i="46" s="1"/>
  <c r="C8" i="47"/>
  <c r="D8" i="47" s="1"/>
  <c r="C7" i="48"/>
  <c r="D7" i="48" s="1"/>
  <c r="B8" i="46"/>
  <c r="D8" i="46" s="1"/>
  <c r="C6" i="47"/>
  <c r="D6" i="47" s="1"/>
  <c r="B9" i="46"/>
  <c r="D9" i="46" s="1"/>
  <c r="C6" i="48"/>
  <c r="D6" i="48" s="1"/>
  <c r="C8" i="48"/>
  <c r="D8" i="48" s="1"/>
  <c r="C7" i="47"/>
  <c r="D7" i="47" s="1"/>
  <c r="B6" i="46"/>
  <c r="D6" i="46" s="1"/>
  <c r="B5" i="42"/>
  <c r="C5" i="42" s="1"/>
  <c r="G3" i="8"/>
  <c r="F5" i="46" s="1"/>
  <c r="P6" i="42"/>
  <c r="P8" i="42"/>
  <c r="AD6" i="42"/>
  <c r="AE6" i="42" s="1"/>
  <c r="AD7" i="42"/>
  <c r="AE7" i="42" s="1"/>
  <c r="P5" i="42"/>
  <c r="Q5" i="42" s="1"/>
  <c r="G3" i="17"/>
  <c r="AD5" i="42"/>
  <c r="AE5" i="42" s="1"/>
  <c r="G3" i="25"/>
  <c r="AD8" i="42"/>
  <c r="AE8" i="42" s="1"/>
  <c r="P7" i="42"/>
  <c r="B9" i="42"/>
  <c r="B7" i="42"/>
  <c r="B8" i="42"/>
  <c r="B6" i="42"/>
  <c r="I28" i="17"/>
  <c r="G28" i="17" s="1"/>
  <c r="A31" i="24"/>
  <c r="I30" i="25"/>
  <c r="G30" i="25" s="1"/>
  <c r="Y37" i="13"/>
  <c r="X38" i="13"/>
  <c r="AF38" i="13"/>
  <c r="T39" i="13"/>
  <c r="V38" i="13"/>
  <c r="W38" i="13"/>
  <c r="U39" i="13"/>
  <c r="I38" i="8"/>
  <c r="G38" i="8" s="1"/>
  <c r="B10" i="42" s="1"/>
  <c r="B38" i="8"/>
  <c r="A39" i="2"/>
  <c r="B28" i="17"/>
  <c r="A29" i="16"/>
  <c r="M41" i="34"/>
  <c r="L41" i="34"/>
  <c r="Q40" i="34"/>
  <c r="K42" i="34"/>
  <c r="B38" i="33"/>
  <c r="Y38" i="13" l="1"/>
  <c r="A7" i="46"/>
  <c r="B7" i="47"/>
  <c r="A8" i="46"/>
  <c r="B10" i="46"/>
  <c r="D10" i="46" s="1"/>
  <c r="B6" i="48"/>
  <c r="B8" i="48"/>
  <c r="B7" i="48"/>
  <c r="B8" i="47"/>
  <c r="A9" i="46"/>
  <c r="A6" i="46"/>
  <c r="B6" i="47"/>
  <c r="AC7" i="42"/>
  <c r="AC8" i="42"/>
  <c r="AC6" i="42"/>
  <c r="C6" i="42"/>
  <c r="A6" i="42" s="1"/>
  <c r="Q6" i="42"/>
  <c r="O6" i="42" s="1"/>
  <c r="Q7" i="42"/>
  <c r="Q8" i="42"/>
  <c r="C8" i="42"/>
  <c r="C10" i="42"/>
  <c r="C7" i="42"/>
  <c r="C9" i="42"/>
  <c r="A32" i="24"/>
  <c r="I31" i="25"/>
  <c r="G31" i="25" s="1"/>
  <c r="AD9" i="42" s="1"/>
  <c r="AE9" i="42" s="1"/>
  <c r="AC9" i="42" s="1"/>
  <c r="B31" i="25"/>
  <c r="X39" i="13"/>
  <c r="AF39" i="13"/>
  <c r="V39" i="13"/>
  <c r="W39" i="13"/>
  <c r="T40" i="13"/>
  <c r="U40" i="13"/>
  <c r="I39" i="8"/>
  <c r="G39" i="8" s="1"/>
  <c r="B39" i="8"/>
  <c r="A40" i="2"/>
  <c r="B29" i="17"/>
  <c r="I29" i="17"/>
  <c r="G29" i="17" s="1"/>
  <c r="A30" i="16"/>
  <c r="K43" i="34"/>
  <c r="B39" i="33"/>
  <c r="M42" i="34"/>
  <c r="L42" i="34"/>
  <c r="Q41" i="34"/>
  <c r="C9" i="48" l="1"/>
  <c r="D9" i="48" s="1"/>
  <c r="A10" i="46"/>
  <c r="A7" i="42"/>
  <c r="O7" i="42"/>
  <c r="A10" i="42"/>
  <c r="A8" i="42"/>
  <c r="A9" i="42"/>
  <c r="O8" i="42"/>
  <c r="Y39" i="13"/>
  <c r="A33" i="24"/>
  <c r="I32" i="25"/>
  <c r="G32" i="25" s="1"/>
  <c r="B32" i="25"/>
  <c r="X40" i="13"/>
  <c r="AF40" i="13"/>
  <c r="T41" i="13"/>
  <c r="V40" i="13"/>
  <c r="W40" i="13"/>
  <c r="U41" i="13"/>
  <c r="I40" i="8"/>
  <c r="G40" i="8" s="1"/>
  <c r="B40" i="8"/>
  <c r="A41" i="2"/>
  <c r="I30" i="17"/>
  <c r="G30" i="17" s="1"/>
  <c r="B30" i="17"/>
  <c r="A31" i="16"/>
  <c r="K44" i="34"/>
  <c r="B40" i="33"/>
  <c r="L43" i="34"/>
  <c r="M43" i="34"/>
  <c r="Q42" i="34"/>
  <c r="B9" i="48" l="1"/>
  <c r="A34" i="24"/>
  <c r="I33" i="25"/>
  <c r="G33" i="25" s="1"/>
  <c r="B33" i="25"/>
  <c r="Y40" i="13"/>
  <c r="X41" i="13"/>
  <c r="AF41" i="13"/>
  <c r="U42" i="13"/>
  <c r="T42" i="13"/>
  <c r="W41" i="13"/>
  <c r="V41" i="13"/>
  <c r="I41" i="8"/>
  <c r="G41" i="8" s="1"/>
  <c r="B41" i="8"/>
  <c r="A42" i="2"/>
  <c r="B31" i="17"/>
  <c r="I31" i="17"/>
  <c r="G31" i="17" s="1"/>
  <c r="P9" i="42" s="1"/>
  <c r="A32" i="16"/>
  <c r="K45" i="34"/>
  <c r="B41" i="33"/>
  <c r="M44" i="34"/>
  <c r="L44" i="34"/>
  <c r="Q43" i="34"/>
  <c r="C9" i="47" l="1"/>
  <c r="D9" i="47" s="1"/>
  <c r="Q9" i="42"/>
  <c r="O9" i="42" s="1"/>
  <c r="Y41" i="13"/>
  <c r="A35" i="24"/>
  <c r="B34" i="25"/>
  <c r="I34" i="25"/>
  <c r="G34" i="25" s="1"/>
  <c r="X42" i="13"/>
  <c r="AF42" i="13"/>
  <c r="T43" i="13"/>
  <c r="U43" i="13"/>
  <c r="V42" i="13"/>
  <c r="W42" i="13"/>
  <c r="I42" i="8"/>
  <c r="G42" i="8" s="1"/>
  <c r="B42" i="8"/>
  <c r="A43" i="2"/>
  <c r="B32" i="17"/>
  <c r="I32" i="17"/>
  <c r="G32" i="17" s="1"/>
  <c r="A33" i="16"/>
  <c r="K46" i="34"/>
  <c r="B42" i="33"/>
  <c r="M45" i="34"/>
  <c r="L45" i="34"/>
  <c r="Q44" i="34"/>
  <c r="B9" i="47" l="1"/>
  <c r="A36" i="24"/>
  <c r="I35" i="25"/>
  <c r="G35" i="25" s="1"/>
  <c r="B35" i="25"/>
  <c r="Y42" i="13"/>
  <c r="X43" i="13"/>
  <c r="AF43" i="13"/>
  <c r="V43" i="13"/>
  <c r="W43" i="13"/>
  <c r="T44" i="13"/>
  <c r="U44" i="13"/>
  <c r="I43" i="8"/>
  <c r="G43" i="8" s="1"/>
  <c r="B43" i="8"/>
  <c r="A44" i="2"/>
  <c r="I33" i="17"/>
  <c r="G33" i="17" s="1"/>
  <c r="B33" i="17"/>
  <c r="A34" i="16"/>
  <c r="K47" i="34"/>
  <c r="K52" i="34" s="1"/>
  <c r="B43" i="33"/>
  <c r="K48" i="34" s="1"/>
  <c r="M46" i="34"/>
  <c r="L46" i="34"/>
  <c r="Q45" i="34"/>
  <c r="K53" i="34" l="1"/>
  <c r="K54" i="34"/>
  <c r="A37" i="24"/>
  <c r="B36" i="25"/>
  <c r="I36" i="25"/>
  <c r="G36" i="25" s="1"/>
  <c r="Y43" i="13"/>
  <c r="X44" i="13"/>
  <c r="AF44" i="13"/>
  <c r="T45" i="13"/>
  <c r="U45" i="13"/>
  <c r="V44" i="13"/>
  <c r="W44" i="13"/>
  <c r="I44" i="8"/>
  <c r="G44" i="8" s="1"/>
  <c r="B44" i="8"/>
  <c r="A45" i="2"/>
  <c r="I34" i="17"/>
  <c r="G34" i="17" s="1"/>
  <c r="B34" i="17"/>
  <c r="A35" i="16"/>
  <c r="M48" i="34"/>
  <c r="L48" i="34"/>
  <c r="Q47" i="34"/>
  <c r="Q52" i="34" s="1"/>
  <c r="Q48" i="34"/>
  <c r="L47" i="34"/>
  <c r="L52" i="34" s="1"/>
  <c r="M47" i="34"/>
  <c r="M52" i="34" s="1"/>
  <c r="Q46" i="34"/>
  <c r="A38" i="24" l="1"/>
  <c r="B37" i="25"/>
  <c r="I37" i="25"/>
  <c r="G37" i="25" s="1"/>
  <c r="Q53" i="34"/>
  <c r="Q54" i="34"/>
  <c r="U47" i="13"/>
  <c r="M53" i="34"/>
  <c r="M54" i="34"/>
  <c r="T47" i="13"/>
  <c r="W48" i="13" s="1"/>
  <c r="O6" i="34" s="1"/>
  <c r="L53" i="34"/>
  <c r="L54" i="34"/>
  <c r="Y44" i="13"/>
  <c r="X45" i="13"/>
  <c r="AF45" i="13"/>
  <c r="T46" i="13"/>
  <c r="W45" i="13"/>
  <c r="V45" i="13"/>
  <c r="U46" i="13"/>
  <c r="I45" i="8"/>
  <c r="G45" i="8" s="1"/>
  <c r="B45" i="8"/>
  <c r="A46" i="2"/>
  <c r="I35" i="17"/>
  <c r="G35" i="17" s="1"/>
  <c r="B35" i="17"/>
  <c r="A36" i="16"/>
  <c r="O49" i="34" l="1"/>
  <c r="B11" i="46"/>
  <c r="D11" i="46" s="1"/>
  <c r="A11" i="46" s="1"/>
  <c r="B11" i="42"/>
  <c r="C11" i="42" s="1"/>
  <c r="A11" i="42" s="1"/>
  <c r="X48" i="13"/>
  <c r="P6" i="34" s="1"/>
  <c r="A39" i="24"/>
  <c r="B38" i="25"/>
  <c r="I38" i="25"/>
  <c r="G38" i="25" s="1"/>
  <c r="C10" i="48" s="1"/>
  <c r="D10" i="48" s="1"/>
  <c r="V47" i="13"/>
  <c r="Y45" i="13"/>
  <c r="AF47" i="13"/>
  <c r="X46" i="13"/>
  <c r="AF46" i="13"/>
  <c r="V46" i="13"/>
  <c r="W46" i="13"/>
  <c r="X47" i="13"/>
  <c r="W47" i="13"/>
  <c r="A47" i="2"/>
  <c r="I46" i="8"/>
  <c r="G46" i="8" s="1"/>
  <c r="B46" i="8"/>
  <c r="I36" i="17"/>
  <c r="G36" i="17" s="1"/>
  <c r="B36" i="17"/>
  <c r="A37" i="16"/>
  <c r="P49" i="34" l="1"/>
  <c r="N6" i="34"/>
  <c r="O55" i="34"/>
  <c r="B10" i="48"/>
  <c r="AD10" i="42"/>
  <c r="AE10" i="42" s="1"/>
  <c r="AC10" i="42" s="1"/>
  <c r="Y48" i="13"/>
  <c r="A40" i="24"/>
  <c r="I39" i="25"/>
  <c r="G39" i="25" s="1"/>
  <c r="B39" i="25"/>
  <c r="Y46" i="13"/>
  <c r="Y47" i="13"/>
  <c r="A48" i="2"/>
  <c r="I47" i="8"/>
  <c r="G47" i="8" s="1"/>
  <c r="B47" i="8"/>
  <c r="B37" i="17"/>
  <c r="I37" i="17"/>
  <c r="G37" i="17" s="1"/>
  <c r="A38" i="16"/>
  <c r="N49" i="34" l="1"/>
  <c r="O5" i="34"/>
  <c r="P5" i="34"/>
  <c r="P55" i="34"/>
  <c r="A41" i="24"/>
  <c r="B40" i="25"/>
  <c r="I40" i="25"/>
  <c r="G40" i="25" s="1"/>
  <c r="A49" i="2"/>
  <c r="I48" i="8"/>
  <c r="G48" i="8" s="1"/>
  <c r="B48" i="8"/>
  <c r="B38" i="17"/>
  <c r="I38" i="17"/>
  <c r="G38" i="17" s="1"/>
  <c r="C10" i="47" s="1"/>
  <c r="D10" i="47" s="1"/>
  <c r="A39" i="16"/>
  <c r="P8" i="34" l="1"/>
  <c r="S8" i="34" s="1"/>
  <c r="P17" i="34"/>
  <c r="S17" i="34" s="1"/>
  <c r="P13" i="34"/>
  <c r="S13" i="34" s="1"/>
  <c r="P16" i="34"/>
  <c r="S16" i="34" s="1"/>
  <c r="P11" i="34"/>
  <c r="S11" i="34" s="1"/>
  <c r="P7" i="34"/>
  <c r="S7" i="34" s="1"/>
  <c r="P9" i="34"/>
  <c r="S9" i="34" s="1"/>
  <c r="P12" i="34"/>
  <c r="S12" i="34" s="1"/>
  <c r="P10" i="34"/>
  <c r="S10" i="34" s="1"/>
  <c r="P18" i="34"/>
  <c r="S18" i="34" s="1"/>
  <c r="P15" i="34"/>
  <c r="S15" i="34" s="1"/>
  <c r="P14" i="34"/>
  <c r="S14" i="34" s="1"/>
  <c r="P19" i="34"/>
  <c r="S19" i="34" s="1"/>
  <c r="P20" i="34"/>
  <c r="S20" i="34" s="1"/>
  <c r="P21" i="34"/>
  <c r="S21" i="34" s="1"/>
  <c r="P22" i="34"/>
  <c r="S22" i="34" s="1"/>
  <c r="P23" i="34"/>
  <c r="S23" i="34" s="1"/>
  <c r="P24" i="34"/>
  <c r="S24" i="34" s="1"/>
  <c r="P25" i="34"/>
  <c r="S25" i="34" s="1"/>
  <c r="P26" i="34"/>
  <c r="S26" i="34" s="1"/>
  <c r="P27" i="34"/>
  <c r="S27" i="34" s="1"/>
  <c r="P28" i="34"/>
  <c r="S28" i="34" s="1"/>
  <c r="P29" i="34"/>
  <c r="S29" i="34" s="1"/>
  <c r="P30" i="34"/>
  <c r="S30" i="34" s="1"/>
  <c r="P31" i="34"/>
  <c r="S31" i="34" s="1"/>
  <c r="P32" i="34"/>
  <c r="S32" i="34" s="1"/>
  <c r="P33" i="34"/>
  <c r="S33" i="34" s="1"/>
  <c r="P34" i="34"/>
  <c r="S34" i="34" s="1"/>
  <c r="P35" i="34"/>
  <c r="S35" i="34" s="1"/>
  <c r="P36" i="34"/>
  <c r="S36" i="34" s="1"/>
  <c r="P37" i="34"/>
  <c r="S37" i="34" s="1"/>
  <c r="P38" i="34"/>
  <c r="S38" i="34" s="1"/>
  <c r="P39" i="34"/>
  <c r="S39" i="34" s="1"/>
  <c r="P40" i="34"/>
  <c r="S40" i="34" s="1"/>
  <c r="P41" i="34"/>
  <c r="S41" i="34" s="1"/>
  <c r="P42" i="34"/>
  <c r="S42" i="34" s="1"/>
  <c r="P43" i="34"/>
  <c r="S43" i="34" s="1"/>
  <c r="P44" i="34"/>
  <c r="S44" i="34" s="1"/>
  <c r="P45" i="34"/>
  <c r="S45" i="34" s="1"/>
  <c r="P46" i="34"/>
  <c r="S46" i="34" s="1"/>
  <c r="P47" i="34"/>
  <c r="P48" i="34"/>
  <c r="O8" i="34"/>
  <c r="R8" i="34" s="1"/>
  <c r="O15" i="34"/>
  <c r="R15" i="34" s="1"/>
  <c r="O14" i="34"/>
  <c r="R14" i="34" s="1"/>
  <c r="O18" i="34"/>
  <c r="R18" i="34" s="1"/>
  <c r="O11" i="34"/>
  <c r="R11" i="34" s="1"/>
  <c r="N5" i="34"/>
  <c r="O17" i="34"/>
  <c r="R17" i="34" s="1"/>
  <c r="O10" i="34"/>
  <c r="R10" i="34" s="1"/>
  <c r="O9" i="34"/>
  <c r="R9" i="34" s="1"/>
  <c r="O7" i="34"/>
  <c r="R7" i="34" s="1"/>
  <c r="O12" i="34"/>
  <c r="R12" i="34" s="1"/>
  <c r="O16" i="34"/>
  <c r="R16" i="34" s="1"/>
  <c r="O13" i="34"/>
  <c r="R13" i="34" s="1"/>
  <c r="O19" i="34"/>
  <c r="R19" i="34" s="1"/>
  <c r="O20" i="34"/>
  <c r="R20" i="34" s="1"/>
  <c r="O21" i="34"/>
  <c r="R21" i="34" s="1"/>
  <c r="O22" i="34"/>
  <c r="R22" i="34" s="1"/>
  <c r="O23" i="34"/>
  <c r="R23" i="34" s="1"/>
  <c r="O24" i="34"/>
  <c r="R24" i="34" s="1"/>
  <c r="O25" i="34"/>
  <c r="R25" i="34" s="1"/>
  <c r="O26" i="34"/>
  <c r="R26" i="34" s="1"/>
  <c r="O27" i="34"/>
  <c r="R27" i="34" s="1"/>
  <c r="O28" i="34"/>
  <c r="R28" i="34" s="1"/>
  <c r="O29" i="34"/>
  <c r="R29" i="34" s="1"/>
  <c r="O30" i="34"/>
  <c r="R30" i="34" s="1"/>
  <c r="O31" i="34"/>
  <c r="R31" i="34" s="1"/>
  <c r="O32" i="34"/>
  <c r="R32" i="34" s="1"/>
  <c r="O33" i="34"/>
  <c r="R33" i="34" s="1"/>
  <c r="O34" i="34"/>
  <c r="R34" i="34" s="1"/>
  <c r="O35" i="34"/>
  <c r="R35" i="34" s="1"/>
  <c r="O36" i="34"/>
  <c r="R36" i="34" s="1"/>
  <c r="O37" i="34"/>
  <c r="R37" i="34" s="1"/>
  <c r="O38" i="34"/>
  <c r="R38" i="34" s="1"/>
  <c r="O39" i="34"/>
  <c r="R39" i="34" s="1"/>
  <c r="O40" i="34"/>
  <c r="R40" i="34" s="1"/>
  <c r="O41" i="34"/>
  <c r="R41" i="34" s="1"/>
  <c r="O42" i="34"/>
  <c r="R42" i="34" s="1"/>
  <c r="O43" i="34"/>
  <c r="R43" i="34" s="1"/>
  <c r="O44" i="34"/>
  <c r="R44" i="34" s="1"/>
  <c r="O45" i="34"/>
  <c r="R45" i="34" s="1"/>
  <c r="O46" i="34"/>
  <c r="R46" i="34" s="1"/>
  <c r="O47" i="34"/>
  <c r="O48" i="34"/>
  <c r="N54" i="34"/>
  <c r="N55" i="34"/>
  <c r="B10" i="47"/>
  <c r="P10" i="42"/>
  <c r="Q10" i="42" s="1"/>
  <c r="O10" i="42" s="1"/>
  <c r="A42" i="24"/>
  <c r="B41" i="25"/>
  <c r="I41" i="25"/>
  <c r="G41" i="25" s="1"/>
  <c r="A50" i="2"/>
  <c r="I49" i="8"/>
  <c r="G49" i="8" s="1"/>
  <c r="B49" i="8"/>
  <c r="I39" i="17"/>
  <c r="G39" i="17" s="1"/>
  <c r="B39" i="17"/>
  <c r="A40" i="16"/>
  <c r="O53" i="34" l="1"/>
  <c r="R48" i="34"/>
  <c r="O54" i="34"/>
  <c r="O52" i="34"/>
  <c r="R47" i="34"/>
  <c r="R52" i="34" s="1"/>
  <c r="P53" i="34"/>
  <c r="S48" i="34"/>
  <c r="P54" i="34"/>
  <c r="P52" i="34"/>
  <c r="S47" i="34"/>
  <c r="S52" i="34" s="1"/>
  <c r="A43" i="24"/>
  <c r="I42" i="25"/>
  <c r="G42" i="25" s="1"/>
  <c r="B42" i="25"/>
  <c r="A51" i="2"/>
  <c r="I50" i="8"/>
  <c r="G50" i="8" s="1"/>
  <c r="B50" i="8"/>
  <c r="B40" i="17"/>
  <c r="I40" i="17"/>
  <c r="G40" i="17" s="1"/>
  <c r="A41" i="16"/>
  <c r="S54" i="34" l="1"/>
  <c r="S53" i="34"/>
  <c r="R53" i="34"/>
  <c r="R54" i="34"/>
  <c r="A44" i="24"/>
  <c r="I43" i="25"/>
  <c r="G43" i="25" s="1"/>
  <c r="B43" i="25"/>
  <c r="A52" i="2"/>
  <c r="I51" i="8"/>
  <c r="G51" i="8" s="1"/>
  <c r="B51" i="8"/>
  <c r="B41" i="17"/>
  <c r="I41" i="17"/>
  <c r="G41" i="17" s="1"/>
  <c r="A42" i="16"/>
  <c r="A45" i="24" l="1"/>
  <c r="B44" i="25"/>
  <c r="I44" i="25"/>
  <c r="G44" i="25" s="1"/>
  <c r="A53" i="2"/>
  <c r="I52" i="8"/>
  <c r="G52" i="8" s="1"/>
  <c r="B12" i="46" s="1"/>
  <c r="D12" i="46" s="1"/>
  <c r="B52" i="8"/>
  <c r="I42" i="17"/>
  <c r="G42" i="17" s="1"/>
  <c r="B42" i="17"/>
  <c r="A43" i="16"/>
  <c r="A12" i="46" l="1"/>
  <c r="B12" i="42"/>
  <c r="C12" i="42" s="1"/>
  <c r="A12" i="42" s="1"/>
  <c r="A46" i="24"/>
  <c r="B45" i="25"/>
  <c r="I45" i="25"/>
  <c r="G45" i="25" s="1"/>
  <c r="C11" i="48" s="1"/>
  <c r="D11" i="48" s="1"/>
  <c r="A54" i="2"/>
  <c r="I53" i="8"/>
  <c r="G53" i="8" s="1"/>
  <c r="B53" i="8"/>
  <c r="I43" i="17"/>
  <c r="G43" i="17" s="1"/>
  <c r="B43" i="17"/>
  <c r="A44" i="16"/>
  <c r="B11" i="48" l="1"/>
  <c r="AD11" i="42"/>
  <c r="AE11" i="42" s="1"/>
  <c r="AC11" i="42" s="1"/>
  <c r="A47" i="24"/>
  <c r="I46" i="25"/>
  <c r="G46" i="25" s="1"/>
  <c r="B46" i="25"/>
  <c r="A55" i="2"/>
  <c r="I54" i="8"/>
  <c r="G54" i="8" s="1"/>
  <c r="B54" i="8"/>
  <c r="B44" i="17"/>
  <c r="I44" i="17"/>
  <c r="G44" i="17" s="1"/>
  <c r="A45" i="16"/>
  <c r="A48" i="24" l="1"/>
  <c r="B47" i="25"/>
  <c r="I47" i="25"/>
  <c r="G47" i="25" s="1"/>
  <c r="A56" i="2"/>
  <c r="I55" i="8"/>
  <c r="G55" i="8" s="1"/>
  <c r="B55" i="8"/>
  <c r="I45" i="17"/>
  <c r="G45" i="17" s="1"/>
  <c r="C11" i="47" s="1"/>
  <c r="D11" i="47" s="1"/>
  <c r="B45" i="17"/>
  <c r="A46" i="16"/>
  <c r="B11" i="47" l="1"/>
  <c r="P11" i="42"/>
  <c r="Q11" i="42" s="1"/>
  <c r="O11" i="42" s="1"/>
  <c r="A49" i="24"/>
  <c r="B48" i="25"/>
  <c r="I48" i="25"/>
  <c r="G48" i="25" s="1"/>
  <c r="A57" i="2"/>
  <c r="I56" i="8"/>
  <c r="G56" i="8" s="1"/>
  <c r="B56" i="8"/>
  <c r="B46" i="17"/>
  <c r="I46" i="17"/>
  <c r="G46" i="17" s="1"/>
  <c r="A47" i="16"/>
  <c r="A50" i="24" l="1"/>
  <c r="I49" i="25"/>
  <c r="G49" i="25" s="1"/>
  <c r="B49" i="25"/>
  <c r="A58" i="2"/>
  <c r="I57" i="8"/>
  <c r="G57" i="8" s="1"/>
  <c r="B57" i="8"/>
  <c r="B47" i="17"/>
  <c r="I47" i="17"/>
  <c r="G47" i="17" s="1"/>
  <c r="A48" i="16"/>
  <c r="A51" i="24" l="1"/>
  <c r="B50" i="25"/>
  <c r="I50" i="25"/>
  <c r="G50" i="25" s="1"/>
  <c r="A59" i="2"/>
  <c r="I58" i="8"/>
  <c r="G58" i="8" s="1"/>
  <c r="B58" i="8"/>
  <c r="I48" i="17"/>
  <c r="G48" i="17" s="1"/>
  <c r="B48" i="17"/>
  <c r="A49" i="16"/>
  <c r="A52" i="24" l="1"/>
  <c r="I51" i="25"/>
  <c r="G51" i="25" s="1"/>
  <c r="B51" i="25"/>
  <c r="A60" i="2"/>
  <c r="I59" i="8"/>
  <c r="G59" i="8" s="1"/>
  <c r="B13" i="46" s="1"/>
  <c r="D13" i="46" s="1"/>
  <c r="B59" i="8"/>
  <c r="B49" i="17"/>
  <c r="I49" i="17"/>
  <c r="G49" i="17" s="1"/>
  <c r="A50" i="16"/>
  <c r="A13" i="46" l="1"/>
  <c r="B13" i="42"/>
  <c r="C13" i="42" s="1"/>
  <c r="A13" i="42" s="1"/>
  <c r="A53" i="24"/>
  <c r="I52" i="25"/>
  <c r="G52" i="25" s="1"/>
  <c r="C12" i="48" s="1"/>
  <c r="D12" i="48" s="1"/>
  <c r="B52" i="25"/>
  <c r="A61" i="2"/>
  <c r="I60" i="8"/>
  <c r="G60" i="8" s="1"/>
  <c r="B60" i="8"/>
  <c r="I50" i="17"/>
  <c r="G50" i="17" s="1"/>
  <c r="B50" i="17"/>
  <c r="A51" i="16"/>
  <c r="B12" i="48" l="1"/>
  <c r="AD12" i="42"/>
  <c r="AE12" i="42" s="1"/>
  <c r="AC12" i="42" s="1"/>
  <c r="A54" i="24"/>
  <c r="I53" i="25"/>
  <c r="G53" i="25" s="1"/>
  <c r="B53" i="25"/>
  <c r="A62" i="2"/>
  <c r="I61" i="8"/>
  <c r="G61" i="8" s="1"/>
  <c r="B61" i="8"/>
  <c r="I51" i="17"/>
  <c r="G51" i="17" s="1"/>
  <c r="B51" i="17"/>
  <c r="A52" i="16"/>
  <c r="A55" i="24" l="1"/>
  <c r="I54" i="25"/>
  <c r="G54" i="25" s="1"/>
  <c r="B54" i="25"/>
  <c r="A63" i="2"/>
  <c r="I62" i="8"/>
  <c r="G62" i="8" s="1"/>
  <c r="B62" i="8"/>
  <c r="B52" i="17"/>
  <c r="I52" i="17"/>
  <c r="G52" i="17" s="1"/>
  <c r="C12" i="47" s="1"/>
  <c r="D12" i="47" s="1"/>
  <c r="A53" i="16"/>
  <c r="B12" i="47" l="1"/>
  <c r="P12" i="42"/>
  <c r="Q12" i="42" s="1"/>
  <c r="O12" i="42" s="1"/>
  <c r="A56" i="24"/>
  <c r="B55" i="25"/>
  <c r="I55" i="25"/>
  <c r="G55" i="25" s="1"/>
  <c r="A64" i="2"/>
  <c r="I63" i="8"/>
  <c r="G63" i="8" s="1"/>
  <c r="B63" i="8"/>
  <c r="I53" i="17"/>
  <c r="G53" i="17" s="1"/>
  <c r="B53" i="17"/>
  <c r="A54" i="16"/>
  <c r="A57" i="24" l="1"/>
  <c r="I56" i="25"/>
  <c r="G56" i="25" s="1"/>
  <c r="B56" i="25"/>
  <c r="A65" i="2"/>
  <c r="I64" i="8"/>
  <c r="G64" i="8" s="1"/>
  <c r="B64" i="8"/>
  <c r="B54" i="17"/>
  <c r="I54" i="17"/>
  <c r="G54" i="17" s="1"/>
  <c r="A55" i="16"/>
  <c r="A58" i="24" l="1"/>
  <c r="I57" i="25"/>
  <c r="G57" i="25" s="1"/>
  <c r="B57" i="25"/>
  <c r="A66" i="2"/>
  <c r="I65" i="8"/>
  <c r="G65" i="8" s="1"/>
  <c r="B65" i="8"/>
  <c r="B55" i="17"/>
  <c r="I55" i="17"/>
  <c r="G55" i="17" s="1"/>
  <c r="A56" i="16"/>
  <c r="A59" i="24" l="1"/>
  <c r="I58" i="25"/>
  <c r="G58" i="25" s="1"/>
  <c r="B58" i="25"/>
  <c r="A67" i="2"/>
  <c r="I66" i="8"/>
  <c r="G66" i="8" s="1"/>
  <c r="B14" i="46" s="1"/>
  <c r="D14" i="46" s="1"/>
  <c r="B66" i="8"/>
  <c r="I56" i="17"/>
  <c r="G56" i="17" s="1"/>
  <c r="B56" i="17"/>
  <c r="A57" i="16"/>
  <c r="A14" i="46" l="1"/>
  <c r="B14" i="42"/>
  <c r="C14" i="42" s="1"/>
  <c r="A14" i="42" s="1"/>
  <c r="A60" i="24"/>
  <c r="I59" i="25"/>
  <c r="G59" i="25" s="1"/>
  <c r="C13" i="48" s="1"/>
  <c r="D13" i="48" s="1"/>
  <c r="B59" i="25"/>
  <c r="A68" i="2"/>
  <c r="I67" i="8"/>
  <c r="G67" i="8" s="1"/>
  <c r="B67" i="8"/>
  <c r="B57" i="17"/>
  <c r="I57" i="17"/>
  <c r="G57" i="17" s="1"/>
  <c r="A58" i="16"/>
  <c r="B13" i="48" l="1"/>
  <c r="AD13" i="42"/>
  <c r="AE13" i="42" s="1"/>
  <c r="AC13" i="42" s="1"/>
  <c r="A61" i="24"/>
  <c r="I60" i="25"/>
  <c r="G60" i="25" s="1"/>
  <c r="B60" i="25"/>
  <c r="A69" i="2"/>
  <c r="I68" i="8"/>
  <c r="G68" i="8" s="1"/>
  <c r="B68" i="8"/>
  <c r="I58" i="17"/>
  <c r="G58" i="17" s="1"/>
  <c r="B58" i="17"/>
  <c r="A59" i="16"/>
  <c r="A62" i="24" l="1"/>
  <c r="I61" i="25"/>
  <c r="G61" i="25" s="1"/>
  <c r="B61" i="25"/>
  <c r="A70" i="2"/>
  <c r="I69" i="8"/>
  <c r="G69" i="8" s="1"/>
  <c r="B69" i="8"/>
  <c r="I59" i="17"/>
  <c r="G59" i="17" s="1"/>
  <c r="C13" i="47" s="1"/>
  <c r="D13" i="47" s="1"/>
  <c r="B59" i="17"/>
  <c r="A60" i="16"/>
  <c r="B13" i="47" l="1"/>
  <c r="P13" i="42"/>
  <c r="Q13" i="42" s="1"/>
  <c r="O13" i="42" s="1"/>
  <c r="A63" i="24"/>
  <c r="I62" i="25"/>
  <c r="G62" i="25" s="1"/>
  <c r="B62" i="25"/>
  <c r="A71" i="2"/>
  <c r="I70" i="8"/>
  <c r="G70" i="8" s="1"/>
  <c r="B70" i="8"/>
  <c r="I60" i="17"/>
  <c r="G60" i="17" s="1"/>
  <c r="B60" i="17"/>
  <c r="A61" i="16"/>
  <c r="A64" i="24" l="1"/>
  <c r="I63" i="25"/>
  <c r="G63" i="25" s="1"/>
  <c r="B63" i="25"/>
  <c r="A72" i="2"/>
  <c r="I71" i="8"/>
  <c r="G71" i="8" s="1"/>
  <c r="B71" i="8"/>
  <c r="I61" i="17"/>
  <c r="G61" i="17" s="1"/>
  <c r="B61" i="17"/>
  <c r="A62" i="16"/>
  <c r="A65" i="24" l="1"/>
  <c r="I64" i="25"/>
  <c r="G64" i="25" s="1"/>
  <c r="B64" i="25"/>
  <c r="A73" i="2"/>
  <c r="I72" i="8"/>
  <c r="G72" i="8" s="1"/>
  <c r="B72" i="8"/>
  <c r="A63" i="16"/>
  <c r="I62" i="17"/>
  <c r="G62" i="17" s="1"/>
  <c r="B62" i="17"/>
  <c r="A66" i="24" l="1"/>
  <c r="I65" i="25"/>
  <c r="G65" i="25" s="1"/>
  <c r="B65" i="25"/>
  <c r="A74" i="2"/>
  <c r="I73" i="8"/>
  <c r="G73" i="8" s="1"/>
  <c r="B15" i="46" s="1"/>
  <c r="D15" i="46" s="1"/>
  <c r="B73" i="8"/>
  <c r="A64" i="16"/>
  <c r="B63" i="17"/>
  <c r="I63" i="17"/>
  <c r="G63" i="17" s="1"/>
  <c r="A15" i="46" l="1"/>
  <c r="B15" i="42"/>
  <c r="C15" i="42" s="1"/>
  <c r="A15" i="42" s="1"/>
  <c r="A67" i="24"/>
  <c r="I66" i="25"/>
  <c r="G66" i="25" s="1"/>
  <c r="C14" i="48" s="1"/>
  <c r="D14" i="48" s="1"/>
  <c r="B66" i="25"/>
  <c r="A75" i="2"/>
  <c r="I74" i="8"/>
  <c r="G74" i="8" s="1"/>
  <c r="B74" i="8"/>
  <c r="A65" i="16"/>
  <c r="B64" i="17"/>
  <c r="I64" i="17"/>
  <c r="G64" i="17" s="1"/>
  <c r="B14" i="48" l="1"/>
  <c r="AD14" i="42"/>
  <c r="AE14" i="42" s="1"/>
  <c r="AC14" i="42" s="1"/>
  <c r="A68" i="24"/>
  <c r="I67" i="25"/>
  <c r="G67" i="25" s="1"/>
  <c r="B67" i="25"/>
  <c r="A76" i="2"/>
  <c r="I75" i="8"/>
  <c r="G75" i="8" s="1"/>
  <c r="B75" i="8"/>
  <c r="A66" i="16"/>
  <c r="B65" i="17"/>
  <c r="I65" i="17"/>
  <c r="G65" i="17" s="1"/>
  <c r="A69" i="24" l="1"/>
  <c r="I68" i="25"/>
  <c r="G68" i="25" s="1"/>
  <c r="B68" i="25"/>
  <c r="A77" i="2"/>
  <c r="I76" i="8"/>
  <c r="G76" i="8" s="1"/>
  <c r="B76" i="8"/>
  <c r="I66" i="17"/>
  <c r="G66" i="17" s="1"/>
  <c r="C14" i="47" s="1"/>
  <c r="D14" i="47" s="1"/>
  <c r="B66" i="17"/>
  <c r="A67" i="16"/>
  <c r="B14" i="47" l="1"/>
  <c r="P14" i="42"/>
  <c r="Q14" i="42" s="1"/>
  <c r="O14" i="42" s="1"/>
  <c r="A70" i="24"/>
  <c r="B69" i="25"/>
  <c r="I69" i="25"/>
  <c r="G69" i="25" s="1"/>
  <c r="A78" i="2"/>
  <c r="I77" i="8"/>
  <c r="G77" i="8" s="1"/>
  <c r="B77" i="8"/>
  <c r="B67" i="17"/>
  <c r="I67" i="17"/>
  <c r="G67" i="17" s="1"/>
  <c r="A68" i="16"/>
  <c r="A71" i="24" l="1"/>
  <c r="B70" i="25"/>
  <c r="I70" i="25"/>
  <c r="G70" i="25" s="1"/>
  <c r="A79" i="2"/>
  <c r="I78" i="8"/>
  <c r="G78" i="8" s="1"/>
  <c r="B78" i="8"/>
  <c r="B68" i="17"/>
  <c r="I68" i="17"/>
  <c r="G68" i="17" s="1"/>
  <c r="A69" i="16"/>
  <c r="A72" i="24" l="1"/>
  <c r="I71" i="25"/>
  <c r="G71" i="25" s="1"/>
  <c r="B71" i="25"/>
  <c r="A80" i="2"/>
  <c r="I79" i="8"/>
  <c r="G79" i="8" s="1"/>
  <c r="B79" i="8"/>
  <c r="I69" i="17"/>
  <c r="G69" i="17" s="1"/>
  <c r="B69" i="17"/>
  <c r="A70" i="16"/>
  <c r="A73" i="24" l="1"/>
  <c r="I72" i="25"/>
  <c r="G72" i="25" s="1"/>
  <c r="B72" i="25"/>
  <c r="A81" i="2"/>
  <c r="I80" i="8"/>
  <c r="G80" i="8" s="1"/>
  <c r="B16" i="46" s="1"/>
  <c r="D16" i="46" s="1"/>
  <c r="B80" i="8"/>
  <c r="B70" i="17"/>
  <c r="I70" i="17"/>
  <c r="G70" i="17" s="1"/>
  <c r="A71" i="16"/>
  <c r="A16" i="46" l="1"/>
  <c r="B16" i="42"/>
  <c r="C16" i="42" s="1"/>
  <c r="A16" i="42" s="1"/>
  <c r="A74" i="24"/>
  <c r="I73" i="25"/>
  <c r="G73" i="25" s="1"/>
  <c r="C15" i="48" s="1"/>
  <c r="D15" i="48" s="1"/>
  <c r="B73" i="25"/>
  <c r="A82" i="2"/>
  <c r="I81" i="8"/>
  <c r="G81" i="8" s="1"/>
  <c r="B81" i="8"/>
  <c r="B71" i="17"/>
  <c r="I71" i="17"/>
  <c r="G71" i="17" s="1"/>
  <c r="A72" i="16"/>
  <c r="B15" i="48" l="1"/>
  <c r="AD15" i="42"/>
  <c r="AE15" i="42" s="1"/>
  <c r="AC15" i="42" s="1"/>
  <c r="A75" i="24"/>
  <c r="B74" i="25"/>
  <c r="I74" i="25"/>
  <c r="G74" i="25" s="1"/>
  <c r="A83" i="2"/>
  <c r="I82" i="8"/>
  <c r="G82" i="8" s="1"/>
  <c r="B82" i="8"/>
  <c r="B72" i="17"/>
  <c r="I72" i="17"/>
  <c r="G72" i="17" s="1"/>
  <c r="A73" i="16"/>
  <c r="A76" i="24" l="1"/>
  <c r="I75" i="25"/>
  <c r="G75" i="25" s="1"/>
  <c r="B75" i="25"/>
  <c r="A84" i="2"/>
  <c r="I83" i="8"/>
  <c r="G83" i="8" s="1"/>
  <c r="B83" i="8"/>
  <c r="B73" i="17"/>
  <c r="I73" i="17"/>
  <c r="G73" i="17" s="1"/>
  <c r="C15" i="47" s="1"/>
  <c r="D15" i="47" s="1"/>
  <c r="A74" i="16"/>
  <c r="B15" i="47" l="1"/>
  <c r="P15" i="42"/>
  <c r="Q15" i="42" s="1"/>
  <c r="O15" i="42" s="1"/>
  <c r="A77" i="24"/>
  <c r="B76" i="25"/>
  <c r="I76" i="25"/>
  <c r="G76" i="25" s="1"/>
  <c r="A85" i="2"/>
  <c r="I84" i="8"/>
  <c r="G84" i="8" s="1"/>
  <c r="B84" i="8"/>
  <c r="I74" i="17"/>
  <c r="G74" i="17" s="1"/>
  <c r="B74" i="17"/>
  <c r="A75" i="16"/>
  <c r="A78" i="24" l="1"/>
  <c r="B77" i="25"/>
  <c r="I77" i="25"/>
  <c r="G77" i="25" s="1"/>
  <c r="A86" i="2"/>
  <c r="I85" i="8"/>
  <c r="G85" i="8" s="1"/>
  <c r="B85" i="8"/>
  <c r="B75" i="17"/>
  <c r="I75" i="17"/>
  <c r="G75" i="17" s="1"/>
  <c r="A76" i="16"/>
  <c r="A79" i="24" l="1"/>
  <c r="B78" i="25"/>
  <c r="I78" i="25"/>
  <c r="G78" i="25" s="1"/>
  <c r="A87" i="2"/>
  <c r="I86" i="8"/>
  <c r="G86" i="8" s="1"/>
  <c r="B86" i="8"/>
  <c r="B76" i="17"/>
  <c r="I76" i="17"/>
  <c r="G76" i="17" s="1"/>
  <c r="A77" i="16"/>
  <c r="A80" i="24" l="1"/>
  <c r="B79" i="25"/>
  <c r="I79" i="25"/>
  <c r="G79" i="25" s="1"/>
  <c r="A88" i="2"/>
  <c r="I87" i="8"/>
  <c r="G87" i="8" s="1"/>
  <c r="B17" i="46" s="1"/>
  <c r="D17" i="46" s="1"/>
  <c r="B87" i="8"/>
  <c r="I77" i="17"/>
  <c r="G77" i="17" s="1"/>
  <c r="B77" i="17"/>
  <c r="A78" i="16"/>
  <c r="A17" i="46" l="1"/>
  <c r="B17" i="42"/>
  <c r="C17" i="42" s="1"/>
  <c r="A17" i="42" s="1"/>
  <c r="A81" i="24"/>
  <c r="B80" i="25"/>
  <c r="I80" i="25"/>
  <c r="G80" i="25" s="1"/>
  <c r="C16" i="48" s="1"/>
  <c r="D16" i="48" s="1"/>
  <c r="A89" i="2"/>
  <c r="I88" i="8"/>
  <c r="G88" i="8" s="1"/>
  <c r="B88" i="8"/>
  <c r="B78" i="17"/>
  <c r="I78" i="17"/>
  <c r="G78" i="17" s="1"/>
  <c r="A79" i="16"/>
  <c r="B16" i="48" l="1"/>
  <c r="AD16" i="42"/>
  <c r="AE16" i="42" s="1"/>
  <c r="AC16" i="42" s="1"/>
  <c r="A82" i="24"/>
  <c r="I81" i="25"/>
  <c r="G81" i="25" s="1"/>
  <c r="B81" i="25"/>
  <c r="A90" i="2"/>
  <c r="I89" i="8"/>
  <c r="G89" i="8" s="1"/>
  <c r="B89" i="8"/>
  <c r="I79" i="17"/>
  <c r="G79" i="17" s="1"/>
  <c r="B79" i="17"/>
  <c r="A80" i="16"/>
  <c r="A83" i="24" l="1"/>
  <c r="I82" i="25"/>
  <c r="G82" i="25" s="1"/>
  <c r="B82" i="25"/>
  <c r="A91" i="2"/>
  <c r="I90" i="8"/>
  <c r="G90" i="8" s="1"/>
  <c r="B90" i="8"/>
  <c r="B80" i="17"/>
  <c r="I80" i="17"/>
  <c r="G80" i="17" s="1"/>
  <c r="C16" i="47" s="1"/>
  <c r="D16" i="47" s="1"/>
  <c r="A81" i="16"/>
  <c r="B16" i="47" l="1"/>
  <c r="P16" i="42"/>
  <c r="Q16" i="42" s="1"/>
  <c r="O16" i="42" s="1"/>
  <c r="A84" i="24"/>
  <c r="I83" i="25"/>
  <c r="G83" i="25" s="1"/>
  <c r="B83" i="25"/>
  <c r="A92" i="2"/>
  <c r="I91" i="8"/>
  <c r="G91" i="8" s="1"/>
  <c r="B91" i="8"/>
  <c r="B81" i="17"/>
  <c r="I81" i="17"/>
  <c r="G81" i="17" s="1"/>
  <c r="A82" i="16"/>
  <c r="A85" i="24" l="1"/>
  <c r="B84" i="25"/>
  <c r="I84" i="25"/>
  <c r="G84" i="25" s="1"/>
  <c r="A93" i="2"/>
  <c r="I92" i="8"/>
  <c r="G92" i="8" s="1"/>
  <c r="B92" i="8"/>
  <c r="B82" i="17"/>
  <c r="I82" i="17"/>
  <c r="G82" i="17" s="1"/>
  <c r="A83" i="16"/>
  <c r="A86" i="24" l="1"/>
  <c r="I85" i="25"/>
  <c r="G85" i="25" s="1"/>
  <c r="B85" i="25"/>
  <c r="A94" i="2"/>
  <c r="I93" i="8"/>
  <c r="G93" i="8" s="1"/>
  <c r="B93" i="8"/>
  <c r="B83" i="17"/>
  <c r="I83" i="17"/>
  <c r="G83" i="17" s="1"/>
  <c r="A84" i="16"/>
  <c r="A87" i="24" l="1"/>
  <c r="I86" i="25"/>
  <c r="G86" i="25" s="1"/>
  <c r="B86" i="25"/>
  <c r="I94" i="8"/>
  <c r="G94" i="8" s="1"/>
  <c r="B18" i="46" s="1"/>
  <c r="D18" i="46" s="1"/>
  <c r="B94" i="8"/>
  <c r="A95" i="2"/>
  <c r="I84" i="17"/>
  <c r="G84" i="17" s="1"/>
  <c r="B84" i="17"/>
  <c r="A85" i="16"/>
  <c r="A18" i="46" l="1"/>
  <c r="B18" i="42"/>
  <c r="C18" i="42" s="1"/>
  <c r="A18" i="42" s="1"/>
  <c r="A88" i="24"/>
  <c r="B87" i="25"/>
  <c r="I87" i="25"/>
  <c r="G87" i="25" s="1"/>
  <c r="C17" i="48" s="1"/>
  <c r="D17" i="48" s="1"/>
  <c r="I95" i="8"/>
  <c r="G95" i="8" s="1"/>
  <c r="B95" i="8"/>
  <c r="A96" i="2"/>
  <c r="B85" i="17"/>
  <c r="I85" i="17"/>
  <c r="G85" i="17" s="1"/>
  <c r="A86" i="16"/>
  <c r="B17" i="48" l="1"/>
  <c r="AD17" i="42"/>
  <c r="AE17" i="42" s="1"/>
  <c r="AC17" i="42" s="1"/>
  <c r="A89" i="24"/>
  <c r="I88" i="25"/>
  <c r="G88" i="25" s="1"/>
  <c r="B88" i="25"/>
  <c r="I96" i="8"/>
  <c r="G96" i="8" s="1"/>
  <c r="B96" i="8"/>
  <c r="A97" i="2"/>
  <c r="I86" i="17"/>
  <c r="G86" i="17" s="1"/>
  <c r="B86" i="17"/>
  <c r="A87" i="16"/>
  <c r="A90" i="24" l="1"/>
  <c r="I89" i="25"/>
  <c r="G89" i="25" s="1"/>
  <c r="B89" i="25"/>
  <c r="I97" i="8"/>
  <c r="G97" i="8" s="1"/>
  <c r="B97" i="8"/>
  <c r="A98" i="2"/>
  <c r="I87" i="17"/>
  <c r="G87" i="17" s="1"/>
  <c r="C17" i="47" s="1"/>
  <c r="D17" i="47" s="1"/>
  <c r="B87" i="17"/>
  <c r="A88" i="16"/>
  <c r="B17" i="47" l="1"/>
  <c r="P17" i="42"/>
  <c r="Q17" i="42" s="1"/>
  <c r="O17" i="42" s="1"/>
  <c r="A91" i="24"/>
  <c r="B90" i="25"/>
  <c r="I90" i="25"/>
  <c r="G90" i="25" s="1"/>
  <c r="I98" i="8"/>
  <c r="G98" i="8" s="1"/>
  <c r="B98" i="8"/>
  <c r="A99" i="2"/>
  <c r="I88" i="17"/>
  <c r="G88" i="17" s="1"/>
  <c r="B88" i="17"/>
  <c r="A89" i="16"/>
  <c r="A92" i="24" l="1"/>
  <c r="I91" i="25"/>
  <c r="G91" i="25" s="1"/>
  <c r="B91" i="25"/>
  <c r="I99" i="8"/>
  <c r="G99" i="8" s="1"/>
  <c r="B99" i="8"/>
  <c r="A100" i="2"/>
  <c r="I89" i="17"/>
  <c r="G89" i="17" s="1"/>
  <c r="B89" i="17"/>
  <c r="A90" i="16"/>
  <c r="A93" i="24" l="1"/>
  <c r="B92" i="25"/>
  <c r="I92" i="25"/>
  <c r="G92" i="25" s="1"/>
  <c r="I100" i="8"/>
  <c r="G100" i="8" s="1"/>
  <c r="B100" i="8"/>
  <c r="A101" i="2"/>
  <c r="B90" i="17"/>
  <c r="I90" i="17"/>
  <c r="G90" i="17" s="1"/>
  <c r="A91" i="16"/>
  <c r="A94" i="24" l="1"/>
  <c r="I93" i="25"/>
  <c r="G93" i="25" s="1"/>
  <c r="B93" i="25"/>
  <c r="I101" i="8"/>
  <c r="G101" i="8" s="1"/>
  <c r="B19" i="46" s="1"/>
  <c r="D19" i="46" s="1"/>
  <c r="B101" i="8"/>
  <c r="A102" i="2"/>
  <c r="I91" i="17"/>
  <c r="G91" i="17" s="1"/>
  <c r="B91" i="17"/>
  <c r="A92" i="16"/>
  <c r="A19" i="46" l="1"/>
  <c r="B19" i="42"/>
  <c r="C19" i="42" s="1"/>
  <c r="A19" i="42" s="1"/>
  <c r="A95" i="24"/>
  <c r="I94" i="25"/>
  <c r="G94" i="25" s="1"/>
  <c r="C18" i="48" s="1"/>
  <c r="D18" i="48" s="1"/>
  <c r="B94" i="25"/>
  <c r="I102" i="8"/>
  <c r="G102" i="8" s="1"/>
  <c r="B102" i="8"/>
  <c r="A103" i="2"/>
  <c r="B92" i="17"/>
  <c r="I92" i="17"/>
  <c r="G92" i="17" s="1"/>
  <c r="A93" i="16"/>
  <c r="B18" i="48" l="1"/>
  <c r="AD18" i="42"/>
  <c r="AE18" i="42" s="1"/>
  <c r="AC18" i="42" s="1"/>
  <c r="A96" i="24"/>
  <c r="I95" i="25"/>
  <c r="G95" i="25" s="1"/>
  <c r="B95" i="25"/>
  <c r="I103" i="8"/>
  <c r="G103" i="8" s="1"/>
  <c r="B103" i="8"/>
  <c r="A104" i="2"/>
  <c r="B93" i="17"/>
  <c r="I93" i="17"/>
  <c r="G93" i="17" s="1"/>
  <c r="A94" i="16"/>
  <c r="A97" i="24" l="1"/>
  <c r="B96" i="25"/>
  <c r="I96" i="25"/>
  <c r="G96" i="25" s="1"/>
  <c r="I104" i="8"/>
  <c r="G104" i="8" s="1"/>
  <c r="B104" i="8"/>
  <c r="A105" i="2"/>
  <c r="I94" i="17"/>
  <c r="G94" i="17" s="1"/>
  <c r="C18" i="47" s="1"/>
  <c r="D18" i="47" s="1"/>
  <c r="B94" i="17"/>
  <c r="A95" i="16"/>
  <c r="B18" i="47" l="1"/>
  <c r="P18" i="42"/>
  <c r="Q18" i="42" s="1"/>
  <c r="O18" i="42" s="1"/>
  <c r="A98" i="24"/>
  <c r="B97" i="25"/>
  <c r="I97" i="25"/>
  <c r="G97" i="25" s="1"/>
  <c r="I105" i="8"/>
  <c r="G105" i="8" s="1"/>
  <c r="B105" i="8"/>
  <c r="A106" i="2"/>
  <c r="B95" i="17"/>
  <c r="I95" i="17"/>
  <c r="G95" i="17" s="1"/>
  <c r="A96" i="16"/>
  <c r="A99" i="24" l="1"/>
  <c r="I98" i="25"/>
  <c r="G98" i="25" s="1"/>
  <c r="B98" i="25"/>
  <c r="I106" i="8"/>
  <c r="G106" i="8" s="1"/>
  <c r="B106" i="8"/>
  <c r="A107" i="2"/>
  <c r="I96" i="17"/>
  <c r="G96" i="17" s="1"/>
  <c r="B96" i="17"/>
  <c r="A97" i="16"/>
  <c r="A100" i="24" l="1"/>
  <c r="I99" i="25"/>
  <c r="G99" i="25" s="1"/>
  <c r="B99" i="25"/>
  <c r="I107" i="8"/>
  <c r="G107" i="8" s="1"/>
  <c r="B107" i="8"/>
  <c r="A108" i="2"/>
  <c r="I97" i="17"/>
  <c r="G97" i="17" s="1"/>
  <c r="B97" i="17"/>
  <c r="A98" i="16"/>
  <c r="A101" i="24" l="1"/>
  <c r="I100" i="25"/>
  <c r="G100" i="25" s="1"/>
  <c r="B100" i="25"/>
  <c r="I108" i="8"/>
  <c r="G108" i="8" s="1"/>
  <c r="B20" i="46" s="1"/>
  <c r="D20" i="46" s="1"/>
  <c r="B108" i="8"/>
  <c r="A109" i="2"/>
  <c r="I98" i="17"/>
  <c r="G98" i="17" s="1"/>
  <c r="B98" i="17"/>
  <c r="A99" i="16"/>
  <c r="A20" i="46" l="1"/>
  <c r="B20" i="42"/>
  <c r="C20" i="42" s="1"/>
  <c r="A20" i="42" s="1"/>
  <c r="A102" i="24"/>
  <c r="I101" i="25"/>
  <c r="G101" i="25" s="1"/>
  <c r="C19" i="48" s="1"/>
  <c r="D19" i="48" s="1"/>
  <c r="B101" i="25"/>
  <c r="I109" i="8"/>
  <c r="G109" i="8" s="1"/>
  <c r="B109" i="8"/>
  <c r="A110" i="2"/>
  <c r="I99" i="17"/>
  <c r="G99" i="17" s="1"/>
  <c r="B99" i="17"/>
  <c r="A100" i="16"/>
  <c r="B19" i="48" l="1"/>
  <c r="AD19" i="42"/>
  <c r="AE19" i="42" s="1"/>
  <c r="AC19" i="42" s="1"/>
  <c r="A103" i="24"/>
  <c r="B102" i="25"/>
  <c r="I102" i="25"/>
  <c r="G102" i="25" s="1"/>
  <c r="I110" i="8"/>
  <c r="G110" i="8" s="1"/>
  <c r="B110" i="8"/>
  <c r="A111" i="2"/>
  <c r="B100" i="17"/>
  <c r="I100" i="17"/>
  <c r="G100" i="17" s="1"/>
  <c r="A101" i="16"/>
  <c r="A104" i="24" l="1"/>
  <c r="I103" i="25"/>
  <c r="G103" i="25" s="1"/>
  <c r="B103" i="25"/>
  <c r="I111" i="8"/>
  <c r="G111" i="8" s="1"/>
  <c r="B111" i="8"/>
  <c r="A112" i="2"/>
  <c r="I101" i="17"/>
  <c r="G101" i="17" s="1"/>
  <c r="C19" i="47" s="1"/>
  <c r="D19" i="47" s="1"/>
  <c r="B101" i="17"/>
  <c r="A102" i="16"/>
  <c r="B19" i="47" l="1"/>
  <c r="P19" i="42"/>
  <c r="Q19" i="42" s="1"/>
  <c r="O19" i="42" s="1"/>
  <c r="A105" i="24"/>
  <c r="I104" i="25"/>
  <c r="G104" i="25" s="1"/>
  <c r="B104" i="25"/>
  <c r="I112" i="8"/>
  <c r="G112" i="8" s="1"/>
  <c r="B112" i="8"/>
  <c r="A113" i="2"/>
  <c r="I102" i="17"/>
  <c r="G102" i="17" s="1"/>
  <c r="B102" i="17"/>
  <c r="A103" i="16"/>
  <c r="A106" i="24" l="1"/>
  <c r="I105" i="25"/>
  <c r="G105" i="25" s="1"/>
  <c r="B105" i="25"/>
  <c r="I113" i="8"/>
  <c r="G113" i="8" s="1"/>
  <c r="B113" i="8"/>
  <c r="A114" i="2"/>
  <c r="B103" i="17"/>
  <c r="I103" i="17"/>
  <c r="G103" i="17" s="1"/>
  <c r="A104" i="16"/>
  <c r="A107" i="24" l="1"/>
  <c r="I106" i="25"/>
  <c r="G106" i="25" s="1"/>
  <c r="B106" i="25"/>
  <c r="I114" i="8"/>
  <c r="G114" i="8" s="1"/>
  <c r="B114" i="8"/>
  <c r="A115" i="2"/>
  <c r="I104" i="17"/>
  <c r="G104" i="17" s="1"/>
  <c r="B104" i="17"/>
  <c r="A105" i="16"/>
  <c r="A108" i="24" l="1"/>
  <c r="I107" i="25"/>
  <c r="G107" i="25" s="1"/>
  <c r="B107" i="25"/>
  <c r="I115" i="8"/>
  <c r="G115" i="8" s="1"/>
  <c r="B21" i="46" s="1"/>
  <c r="D21" i="46" s="1"/>
  <c r="B115" i="8"/>
  <c r="A116" i="2"/>
  <c r="I105" i="17"/>
  <c r="G105" i="17" s="1"/>
  <c r="B105" i="17"/>
  <c r="A106" i="16"/>
  <c r="A21" i="46" l="1"/>
  <c r="B21" i="42"/>
  <c r="C21" i="42" s="1"/>
  <c r="A21" i="42" s="1"/>
  <c r="A109" i="24"/>
  <c r="I108" i="25"/>
  <c r="G108" i="25" s="1"/>
  <c r="C20" i="48" s="1"/>
  <c r="D20" i="48" s="1"/>
  <c r="B108" i="25"/>
  <c r="I116" i="8"/>
  <c r="G116" i="8" s="1"/>
  <c r="B116" i="8"/>
  <c r="A117" i="2"/>
  <c r="I106" i="17"/>
  <c r="G106" i="17" s="1"/>
  <c r="B106" i="17"/>
  <c r="A107" i="16"/>
  <c r="B20" i="48" l="1"/>
  <c r="AD20" i="42"/>
  <c r="AE20" i="42" s="1"/>
  <c r="AC20" i="42" s="1"/>
  <c r="A110" i="24"/>
  <c r="I109" i="25"/>
  <c r="G109" i="25" s="1"/>
  <c r="B109" i="25"/>
  <c r="I117" i="8"/>
  <c r="G117" i="8" s="1"/>
  <c r="B117" i="8"/>
  <c r="A118" i="2"/>
  <c r="I107" i="17"/>
  <c r="G107" i="17" s="1"/>
  <c r="B107" i="17"/>
  <c r="A108" i="16"/>
  <c r="A111" i="24" l="1"/>
  <c r="I110" i="25"/>
  <c r="G110" i="25" s="1"/>
  <c r="B110" i="25"/>
  <c r="I118" i="8"/>
  <c r="G118" i="8" s="1"/>
  <c r="B118" i="8"/>
  <c r="A119" i="2"/>
  <c r="B108" i="17"/>
  <c r="I108" i="17"/>
  <c r="G108" i="17" s="1"/>
  <c r="C20" i="47" s="1"/>
  <c r="D20" i="47" s="1"/>
  <c r="A109" i="16"/>
  <c r="B20" i="47" l="1"/>
  <c r="P20" i="42"/>
  <c r="Q20" i="42" s="1"/>
  <c r="O20" i="42" s="1"/>
  <c r="A112" i="24"/>
  <c r="I111" i="25"/>
  <c r="G111" i="25" s="1"/>
  <c r="B111" i="25"/>
  <c r="I119" i="8"/>
  <c r="G119" i="8" s="1"/>
  <c r="B119" i="8"/>
  <c r="A120" i="2"/>
  <c r="I109" i="17"/>
  <c r="G109" i="17" s="1"/>
  <c r="B109" i="17"/>
  <c r="A110" i="16"/>
  <c r="A113" i="24" l="1"/>
  <c r="I112" i="25"/>
  <c r="G112" i="25" s="1"/>
  <c r="B112" i="25"/>
  <c r="I120" i="8"/>
  <c r="G120" i="8" s="1"/>
  <c r="B120" i="8"/>
  <c r="A121" i="2"/>
  <c r="I110" i="17"/>
  <c r="G110" i="17" s="1"/>
  <c r="B110" i="17"/>
  <c r="A111" i="16"/>
  <c r="A114" i="24" l="1"/>
  <c r="I113" i="25"/>
  <c r="G113" i="25" s="1"/>
  <c r="B113" i="25"/>
  <c r="I121" i="8"/>
  <c r="G121" i="8" s="1"/>
  <c r="B121" i="8"/>
  <c r="A122" i="2"/>
  <c r="B111" i="17"/>
  <c r="I111" i="17"/>
  <c r="G111" i="17" s="1"/>
  <c r="A112" i="16"/>
  <c r="A115" i="24" l="1"/>
  <c r="I114" i="25"/>
  <c r="G114" i="25" s="1"/>
  <c r="B114" i="25"/>
  <c r="I122" i="8"/>
  <c r="G122" i="8" s="1"/>
  <c r="B22" i="46" s="1"/>
  <c r="D22" i="46" s="1"/>
  <c r="B122" i="8"/>
  <c r="A123" i="2"/>
  <c r="B112" i="17"/>
  <c r="I112" i="17"/>
  <c r="G112" i="17" s="1"/>
  <c r="A113" i="16"/>
  <c r="A22" i="46" l="1"/>
  <c r="B22" i="42"/>
  <c r="C22" i="42" s="1"/>
  <c r="A22" i="42" s="1"/>
  <c r="A116" i="24"/>
  <c r="B115" i="25"/>
  <c r="I115" i="25"/>
  <c r="G115" i="25" s="1"/>
  <c r="C21" i="48" s="1"/>
  <c r="D21" i="48" s="1"/>
  <c r="I123" i="8"/>
  <c r="G123" i="8" s="1"/>
  <c r="B123" i="8"/>
  <c r="A124" i="2"/>
  <c r="B113" i="17"/>
  <c r="I113" i="17"/>
  <c r="G113" i="17" s="1"/>
  <c r="A114" i="16"/>
  <c r="B21" i="48" l="1"/>
  <c r="AD21" i="42"/>
  <c r="AE21" i="42" s="1"/>
  <c r="AC21" i="42" s="1"/>
  <c r="A117" i="24"/>
  <c r="I116" i="25"/>
  <c r="G116" i="25" s="1"/>
  <c r="B116" i="25"/>
  <c r="I124" i="8"/>
  <c r="G124" i="8" s="1"/>
  <c r="B124" i="8"/>
  <c r="A125" i="2"/>
  <c r="B114" i="17"/>
  <c r="I114" i="17"/>
  <c r="G114" i="17" s="1"/>
  <c r="A115" i="16"/>
  <c r="A118" i="24" l="1"/>
  <c r="B117" i="25"/>
  <c r="I117" i="25"/>
  <c r="G117" i="25" s="1"/>
  <c r="I125" i="8"/>
  <c r="G125" i="8" s="1"/>
  <c r="B125" i="8"/>
  <c r="A126" i="2"/>
  <c r="I115" i="17"/>
  <c r="G115" i="17" s="1"/>
  <c r="C21" i="47" s="1"/>
  <c r="D21" i="47" s="1"/>
  <c r="B115" i="17"/>
  <c r="A116" i="16"/>
  <c r="B21" i="47" l="1"/>
  <c r="P21" i="42"/>
  <c r="Q21" i="42" s="1"/>
  <c r="O21" i="42" s="1"/>
  <c r="A119" i="24"/>
  <c r="I118" i="25"/>
  <c r="G118" i="25" s="1"/>
  <c r="B118" i="25"/>
  <c r="I126" i="8"/>
  <c r="G126" i="8" s="1"/>
  <c r="B126" i="8"/>
  <c r="A127" i="2"/>
  <c r="B116" i="17"/>
  <c r="I116" i="17"/>
  <c r="G116" i="17" s="1"/>
  <c r="A117" i="16"/>
  <c r="A120" i="24" l="1"/>
  <c r="B119" i="25"/>
  <c r="I119" i="25"/>
  <c r="G119" i="25" s="1"/>
  <c r="I127" i="8"/>
  <c r="G127" i="8" s="1"/>
  <c r="B127" i="8"/>
  <c r="A128" i="2"/>
  <c r="B117" i="17"/>
  <c r="I117" i="17"/>
  <c r="G117" i="17" s="1"/>
  <c r="A118" i="16"/>
  <c r="A121" i="24" l="1"/>
  <c r="I120" i="25"/>
  <c r="G120" i="25" s="1"/>
  <c r="B120" i="25"/>
  <c r="I128" i="8"/>
  <c r="G128" i="8" s="1"/>
  <c r="B128" i="8"/>
  <c r="A129" i="2"/>
  <c r="I118" i="17"/>
  <c r="G118" i="17" s="1"/>
  <c r="B118" i="17"/>
  <c r="A119" i="16"/>
  <c r="A122" i="24" l="1"/>
  <c r="B121" i="25"/>
  <c r="I121" i="25"/>
  <c r="G121" i="25" s="1"/>
  <c r="I129" i="8"/>
  <c r="G129" i="8" s="1"/>
  <c r="B23" i="46" s="1"/>
  <c r="D23" i="46" s="1"/>
  <c r="B129" i="8"/>
  <c r="A130" i="2"/>
  <c r="B119" i="17"/>
  <c r="I119" i="17"/>
  <c r="G119" i="17" s="1"/>
  <c r="A120" i="16"/>
  <c r="A23" i="46" l="1"/>
  <c r="B23" i="42"/>
  <c r="C23" i="42" s="1"/>
  <c r="A123" i="24"/>
  <c r="I122" i="25"/>
  <c r="G122" i="25" s="1"/>
  <c r="C22" i="48" s="1"/>
  <c r="D22" i="48" s="1"/>
  <c r="B122" i="25"/>
  <c r="I130" i="8"/>
  <c r="G130" i="8" s="1"/>
  <c r="B130" i="8"/>
  <c r="A131" i="2"/>
  <c r="B120" i="17"/>
  <c r="I120" i="17"/>
  <c r="G120" i="17" s="1"/>
  <c r="A121" i="16"/>
  <c r="B22" i="48" l="1"/>
  <c r="AD22" i="42"/>
  <c r="AE22" i="42" s="1"/>
  <c r="AC22" i="42" s="1"/>
  <c r="A23" i="42"/>
  <c r="A124" i="24"/>
  <c r="I123" i="25"/>
  <c r="G123" i="25" s="1"/>
  <c r="B123" i="25"/>
  <c r="I131" i="8"/>
  <c r="G131" i="8" s="1"/>
  <c r="B131" i="8"/>
  <c r="A132" i="2"/>
  <c r="B121" i="17"/>
  <c r="I121" i="17"/>
  <c r="G121" i="17" s="1"/>
  <c r="A122" i="16"/>
  <c r="A125" i="24" l="1"/>
  <c r="I124" i="25"/>
  <c r="G124" i="25" s="1"/>
  <c r="B124" i="25"/>
  <c r="I132" i="8"/>
  <c r="G132" i="8" s="1"/>
  <c r="B132" i="8"/>
  <c r="A133" i="2"/>
  <c r="B122" i="17"/>
  <c r="I122" i="17"/>
  <c r="G122" i="17" s="1"/>
  <c r="C22" i="47" s="1"/>
  <c r="D22" i="47" s="1"/>
  <c r="A123" i="16"/>
  <c r="B22" i="47" l="1"/>
  <c r="P22" i="42"/>
  <c r="Q22" i="42" s="1"/>
  <c r="O22" i="42" s="1"/>
  <c r="A126" i="24"/>
  <c r="I125" i="25"/>
  <c r="G125" i="25" s="1"/>
  <c r="B125" i="25"/>
  <c r="I133" i="8"/>
  <c r="G133" i="8" s="1"/>
  <c r="B133" i="8"/>
  <c r="A134" i="2"/>
  <c r="B123" i="17"/>
  <c r="I123" i="17"/>
  <c r="G123" i="17" s="1"/>
  <c r="A124" i="16"/>
  <c r="A127" i="24" l="1"/>
  <c r="I126" i="25"/>
  <c r="G126" i="25" s="1"/>
  <c r="B126" i="25"/>
  <c r="I134" i="8"/>
  <c r="G134" i="8" s="1"/>
  <c r="B134" i="8"/>
  <c r="A135" i="2"/>
  <c r="I124" i="17"/>
  <c r="G124" i="17" s="1"/>
  <c r="B124" i="17"/>
  <c r="A125" i="16"/>
  <c r="A128" i="24" l="1"/>
  <c r="I127" i="25"/>
  <c r="G127" i="25" s="1"/>
  <c r="B127" i="25"/>
  <c r="I135" i="8"/>
  <c r="G135" i="8" s="1"/>
  <c r="B135" i="8"/>
  <c r="A136" i="2"/>
  <c r="B125" i="17"/>
  <c r="I125" i="17"/>
  <c r="G125" i="17" s="1"/>
  <c r="A126" i="16"/>
  <c r="A129" i="24" l="1"/>
  <c r="I128" i="25"/>
  <c r="G128" i="25" s="1"/>
  <c r="B128" i="25"/>
  <c r="I136" i="8"/>
  <c r="G136" i="8" s="1"/>
  <c r="B24" i="46" s="1"/>
  <c r="D24" i="46" s="1"/>
  <c r="B136" i="8"/>
  <c r="A137" i="2"/>
  <c r="B126" i="17"/>
  <c r="I126" i="17"/>
  <c r="G126" i="17" s="1"/>
  <c r="A127" i="16"/>
  <c r="A24" i="46" l="1"/>
  <c r="B24" i="42"/>
  <c r="C24" i="42" s="1"/>
  <c r="A24" i="42" s="1"/>
  <c r="A130" i="24"/>
  <c r="I129" i="25"/>
  <c r="G129" i="25" s="1"/>
  <c r="C23" i="48" s="1"/>
  <c r="D23" i="48" s="1"/>
  <c r="B129" i="25"/>
  <c r="I137" i="8"/>
  <c r="G137" i="8" s="1"/>
  <c r="B137" i="8"/>
  <c r="A138" i="2"/>
  <c r="B127" i="17"/>
  <c r="I127" i="17"/>
  <c r="G127" i="17" s="1"/>
  <c r="A128" i="16"/>
  <c r="B23" i="48" l="1"/>
  <c r="AD23" i="42"/>
  <c r="AE23" i="42" s="1"/>
  <c r="AC23" i="42" s="1"/>
  <c r="A131" i="24"/>
  <c r="I130" i="25"/>
  <c r="G130" i="25" s="1"/>
  <c r="B130" i="25"/>
  <c r="I138" i="8"/>
  <c r="G138" i="8" s="1"/>
  <c r="B138" i="8"/>
  <c r="A139" i="2"/>
  <c r="B128" i="17"/>
  <c r="I128" i="17"/>
  <c r="G128" i="17" s="1"/>
  <c r="A129" i="16"/>
  <c r="A132" i="24" l="1"/>
  <c r="I131" i="25"/>
  <c r="G131" i="25" s="1"/>
  <c r="B131" i="25"/>
  <c r="I139" i="8"/>
  <c r="G139" i="8" s="1"/>
  <c r="B139" i="8"/>
  <c r="A140" i="2"/>
  <c r="B129" i="17"/>
  <c r="I129" i="17"/>
  <c r="G129" i="17" s="1"/>
  <c r="C23" i="47" s="1"/>
  <c r="D23" i="47" s="1"/>
  <c r="A130" i="16"/>
  <c r="B23" i="47" l="1"/>
  <c r="P23" i="42"/>
  <c r="Q23" i="42" s="1"/>
  <c r="O23" i="42" s="1"/>
  <c r="A133" i="24"/>
  <c r="B132" i="25"/>
  <c r="I132" i="25"/>
  <c r="G132" i="25" s="1"/>
  <c r="B140" i="8"/>
  <c r="I140" i="8"/>
  <c r="G140" i="8" s="1"/>
  <c r="A141" i="2"/>
  <c r="I141" i="8" s="1"/>
  <c r="B130" i="17"/>
  <c r="I130" i="17"/>
  <c r="G130" i="17" s="1"/>
  <c r="A131" i="16"/>
  <c r="A134" i="24" l="1"/>
  <c r="I133" i="25"/>
  <c r="G133" i="25" s="1"/>
  <c r="B133" i="25"/>
  <c r="G141" i="8"/>
  <c r="B141" i="8"/>
  <c r="A142" i="2"/>
  <c r="B131" i="17"/>
  <c r="I131" i="17"/>
  <c r="G131" i="17" s="1"/>
  <c r="A132" i="16"/>
  <c r="A135" i="24" l="1"/>
  <c r="B134" i="25"/>
  <c r="I134" i="25"/>
  <c r="G134" i="25" s="1"/>
  <c r="I142" i="8"/>
  <c r="G142" i="8" s="1"/>
  <c r="B142" i="8"/>
  <c r="A143" i="2"/>
  <c r="I132" i="17"/>
  <c r="G132" i="17" s="1"/>
  <c r="B132" i="17"/>
  <c r="A133" i="16"/>
  <c r="A136" i="24" l="1"/>
  <c r="B135" i="25"/>
  <c r="I135" i="25"/>
  <c r="G135" i="25" s="1"/>
  <c r="I143" i="8"/>
  <c r="G143" i="8" s="1"/>
  <c r="B25" i="46" s="1"/>
  <c r="D25" i="46" s="1"/>
  <c r="B143" i="8"/>
  <c r="A144" i="2"/>
  <c r="B133" i="17"/>
  <c r="I133" i="17"/>
  <c r="G133" i="17" s="1"/>
  <c r="A134" i="16"/>
  <c r="A25" i="46" l="1"/>
  <c r="B25" i="42"/>
  <c r="C25" i="42" s="1"/>
  <c r="A25" i="42" s="1"/>
  <c r="A137" i="24"/>
  <c r="I136" i="25"/>
  <c r="G136" i="25" s="1"/>
  <c r="C24" i="48" s="1"/>
  <c r="D24" i="48" s="1"/>
  <c r="B136" i="25"/>
  <c r="I144" i="8"/>
  <c r="G144" i="8" s="1"/>
  <c r="B144" i="8"/>
  <c r="A145" i="2"/>
  <c r="I134" i="17"/>
  <c r="G134" i="17" s="1"/>
  <c r="B134" i="17"/>
  <c r="A135" i="16"/>
  <c r="B24" i="48" l="1"/>
  <c r="AD24" i="42"/>
  <c r="AE24" i="42" s="1"/>
  <c r="AC24" i="42" s="1"/>
  <c r="A138" i="24"/>
  <c r="I137" i="25"/>
  <c r="G137" i="25" s="1"/>
  <c r="B137" i="25"/>
  <c r="I145" i="8"/>
  <c r="G145" i="8" s="1"/>
  <c r="B145" i="8"/>
  <c r="A146" i="2"/>
  <c r="I135" i="17"/>
  <c r="G135" i="17" s="1"/>
  <c r="B135" i="17"/>
  <c r="A136" i="16"/>
  <c r="A139" i="24" l="1"/>
  <c r="I138" i="25"/>
  <c r="G138" i="25" s="1"/>
  <c r="B138" i="25"/>
  <c r="I146" i="8"/>
  <c r="G146" i="8" s="1"/>
  <c r="B146" i="8"/>
  <c r="A147" i="2"/>
  <c r="I136" i="17"/>
  <c r="G136" i="17" s="1"/>
  <c r="C24" i="47" s="1"/>
  <c r="D24" i="47" s="1"/>
  <c r="B136" i="17"/>
  <c r="A137" i="16"/>
  <c r="B24" i="47" l="1"/>
  <c r="P24" i="42"/>
  <c r="Q24" i="42" s="1"/>
  <c r="O24" i="42" s="1"/>
  <c r="A140" i="24"/>
  <c r="I139" i="25"/>
  <c r="G139" i="25" s="1"/>
  <c r="B139" i="25"/>
  <c r="I147" i="8"/>
  <c r="G147" i="8" s="1"/>
  <c r="B147" i="8"/>
  <c r="A148" i="2"/>
  <c r="B137" i="17"/>
  <c r="I137" i="17"/>
  <c r="G137" i="17" s="1"/>
  <c r="A138" i="16"/>
  <c r="A141" i="24" l="1"/>
  <c r="B140" i="25"/>
  <c r="I140" i="25"/>
  <c r="G140" i="25" s="1"/>
  <c r="B148" i="8"/>
  <c r="I148" i="8"/>
  <c r="G148" i="8" s="1"/>
  <c r="A149" i="2"/>
  <c r="B138" i="17"/>
  <c r="I138" i="17"/>
  <c r="G138" i="17" s="1"/>
  <c r="A139" i="16"/>
  <c r="A142" i="24" l="1"/>
  <c r="B141" i="25"/>
  <c r="I141" i="25"/>
  <c r="G141" i="25" s="1"/>
  <c r="I149" i="8"/>
  <c r="G149" i="8" s="1"/>
  <c r="B149" i="8"/>
  <c r="A150" i="2"/>
  <c r="I139" i="17"/>
  <c r="G139" i="17" s="1"/>
  <c r="B139" i="17"/>
  <c r="A140" i="16"/>
  <c r="A143" i="24" l="1"/>
  <c r="B142" i="25"/>
  <c r="I142" i="25"/>
  <c r="G142" i="25" s="1"/>
  <c r="I150" i="8"/>
  <c r="G150" i="8" s="1"/>
  <c r="B26" i="46" s="1"/>
  <c r="D26" i="46" s="1"/>
  <c r="B150" i="8"/>
  <c r="A151" i="2"/>
  <c r="I140" i="17"/>
  <c r="G140" i="17" s="1"/>
  <c r="B140" i="17"/>
  <c r="A141" i="16"/>
  <c r="A26" i="46" l="1"/>
  <c r="B26" i="42"/>
  <c r="C26" i="42" s="1"/>
  <c r="A26" i="42" s="1"/>
  <c r="A144" i="24"/>
  <c r="I143" i="25"/>
  <c r="G143" i="25" s="1"/>
  <c r="C25" i="48" s="1"/>
  <c r="D25" i="48" s="1"/>
  <c r="B143" i="25"/>
  <c r="I151" i="8"/>
  <c r="G151" i="8" s="1"/>
  <c r="B151" i="8"/>
  <c r="A152" i="2"/>
  <c r="B141" i="17"/>
  <c r="I141" i="17"/>
  <c r="G141" i="17" s="1"/>
  <c r="A142" i="16"/>
  <c r="B25" i="48" l="1"/>
  <c r="AD25" i="42"/>
  <c r="AE25" i="42" s="1"/>
  <c r="AC25" i="42" s="1"/>
  <c r="A145" i="24"/>
  <c r="B144" i="25"/>
  <c r="I144" i="25"/>
  <c r="G144" i="25" s="1"/>
  <c r="I152" i="8"/>
  <c r="G152" i="8" s="1"/>
  <c r="B152" i="8"/>
  <c r="A153" i="2"/>
  <c r="I142" i="17"/>
  <c r="G142" i="17" s="1"/>
  <c r="B142" i="17"/>
  <c r="A143" i="16"/>
  <c r="A146" i="24" l="1"/>
  <c r="I145" i="25"/>
  <c r="G145" i="25" s="1"/>
  <c r="B145" i="25"/>
  <c r="I153" i="8"/>
  <c r="G153" i="8" s="1"/>
  <c r="B153" i="8"/>
  <c r="A154" i="2"/>
  <c r="I143" i="17"/>
  <c r="G143" i="17" s="1"/>
  <c r="C25" i="47" s="1"/>
  <c r="D25" i="47" s="1"/>
  <c r="B143" i="17"/>
  <c r="A144" i="16"/>
  <c r="B25" i="47" l="1"/>
  <c r="P25" i="42"/>
  <c r="Q25" i="42" s="1"/>
  <c r="O25" i="42" s="1"/>
  <c r="A147" i="24"/>
  <c r="B146" i="25"/>
  <c r="I146" i="25"/>
  <c r="G146" i="25" s="1"/>
  <c r="I154" i="8"/>
  <c r="G154" i="8" s="1"/>
  <c r="B154" i="8"/>
  <c r="A155" i="2"/>
  <c r="I144" i="17"/>
  <c r="G144" i="17" s="1"/>
  <c r="B144" i="17"/>
  <c r="A145" i="16"/>
  <c r="A148" i="24" l="1"/>
  <c r="I147" i="25"/>
  <c r="G147" i="25" s="1"/>
  <c r="B147" i="25"/>
  <c r="I155" i="8"/>
  <c r="G155" i="8" s="1"/>
  <c r="B155" i="8"/>
  <c r="A156" i="2"/>
  <c r="B145" i="17"/>
  <c r="I145" i="17"/>
  <c r="G145" i="17" s="1"/>
  <c r="A146" i="16"/>
  <c r="A17" i="7"/>
  <c r="A149" i="24" l="1"/>
  <c r="B148" i="25"/>
  <c r="I148" i="25"/>
  <c r="G148" i="25" s="1"/>
  <c r="B156" i="8"/>
  <c r="I156" i="8"/>
  <c r="G156" i="8" s="1"/>
  <c r="A157" i="2"/>
  <c r="I146" i="17"/>
  <c r="G146" i="17" s="1"/>
  <c r="B146" i="17"/>
  <c r="A147" i="16"/>
  <c r="A150" i="24" l="1"/>
  <c r="I149" i="25"/>
  <c r="G149" i="25" s="1"/>
  <c r="B149" i="25"/>
  <c r="I157" i="8"/>
  <c r="G157" i="8" s="1"/>
  <c r="B27" i="46" s="1"/>
  <c r="D27" i="46" s="1"/>
  <c r="B157" i="8"/>
  <c r="A158" i="2"/>
  <c r="I147" i="17"/>
  <c r="G147" i="17" s="1"/>
  <c r="B147" i="17"/>
  <c r="C1" i="16"/>
  <c r="C1" i="24"/>
  <c r="A148" i="16"/>
  <c r="C1" i="2"/>
  <c r="A1" i="8" s="1"/>
  <c r="A27" i="46" l="1"/>
  <c r="B27" i="42"/>
  <c r="C27" i="42" s="1"/>
  <c r="A151" i="24"/>
  <c r="B151" i="24" s="1"/>
  <c r="I150" i="25"/>
  <c r="G150" i="25" s="1"/>
  <c r="C26" i="48" s="1"/>
  <c r="D26" i="48" s="1"/>
  <c r="B150" i="25"/>
  <c r="I158" i="8"/>
  <c r="G158" i="8" s="1"/>
  <c r="B158" i="8"/>
  <c r="A159" i="2"/>
  <c r="B148" i="17"/>
  <c r="I148" i="17"/>
  <c r="G148" i="17" s="1"/>
  <c r="E148" i="16"/>
  <c r="D148" i="16" s="1"/>
  <c r="E148" i="17" s="1"/>
  <c r="E44" i="24"/>
  <c r="E52" i="24"/>
  <c r="E60" i="24"/>
  <c r="E68" i="24"/>
  <c r="E76" i="24"/>
  <c r="E84" i="24"/>
  <c r="E92" i="24"/>
  <c r="E100" i="24"/>
  <c r="E108" i="24"/>
  <c r="E116" i="24"/>
  <c r="E124" i="24"/>
  <c r="E132" i="24"/>
  <c r="E140" i="24"/>
  <c r="E148" i="24"/>
  <c r="E47" i="24"/>
  <c r="E55" i="24"/>
  <c r="E63" i="24"/>
  <c r="E71" i="24"/>
  <c r="E79" i="24"/>
  <c r="E87" i="24"/>
  <c r="E95" i="24"/>
  <c r="E103" i="24"/>
  <c r="E111" i="24"/>
  <c r="E119" i="24"/>
  <c r="E127" i="24"/>
  <c r="E135" i="24"/>
  <c r="E143" i="24"/>
  <c r="E151" i="24"/>
  <c r="E48" i="24"/>
  <c r="E56" i="24"/>
  <c r="E64" i="24"/>
  <c r="E72" i="24"/>
  <c r="E80" i="24"/>
  <c r="E88" i="24"/>
  <c r="E96" i="24"/>
  <c r="E104" i="24"/>
  <c r="E112" i="24"/>
  <c r="E120" i="24"/>
  <c r="E128" i="24"/>
  <c r="E136" i="24"/>
  <c r="E144" i="24"/>
  <c r="E49" i="24"/>
  <c r="E57" i="24"/>
  <c r="E65" i="24"/>
  <c r="E73" i="24"/>
  <c r="E81" i="24"/>
  <c r="E89" i="24"/>
  <c r="E97" i="24"/>
  <c r="E105" i="24"/>
  <c r="E113" i="24"/>
  <c r="E121" i="24"/>
  <c r="E129" i="24"/>
  <c r="E137" i="24"/>
  <c r="E145" i="24"/>
  <c r="E42" i="24"/>
  <c r="E50" i="24"/>
  <c r="E58" i="24"/>
  <c r="E66" i="24"/>
  <c r="E74" i="24"/>
  <c r="E82" i="24"/>
  <c r="E90" i="24"/>
  <c r="E98" i="24"/>
  <c r="E106" i="24"/>
  <c r="E114" i="24"/>
  <c r="E122" i="24"/>
  <c r="E130" i="24"/>
  <c r="E138" i="24"/>
  <c r="E146" i="24"/>
  <c r="E45" i="24"/>
  <c r="E67" i="24"/>
  <c r="E86" i="24"/>
  <c r="E109" i="24"/>
  <c r="E131" i="24"/>
  <c r="E150" i="24"/>
  <c r="B134" i="24"/>
  <c r="B135" i="24"/>
  <c r="B110" i="24"/>
  <c r="A1" i="25"/>
  <c r="E46" i="24"/>
  <c r="E69" i="24"/>
  <c r="E91" i="24"/>
  <c r="E110" i="24"/>
  <c r="E133" i="24"/>
  <c r="B103" i="24"/>
  <c r="E51" i="24"/>
  <c r="E70" i="24"/>
  <c r="E93" i="24"/>
  <c r="E115" i="24"/>
  <c r="E134" i="24"/>
  <c r="E53" i="24"/>
  <c r="E75" i="24"/>
  <c r="E94" i="24"/>
  <c r="E117" i="24"/>
  <c r="E139" i="24"/>
  <c r="B79" i="24"/>
  <c r="B111" i="24"/>
  <c r="B143" i="24"/>
  <c r="E54" i="24"/>
  <c r="E99" i="24"/>
  <c r="E118" i="24"/>
  <c r="B118" i="24"/>
  <c r="B150" i="24"/>
  <c r="E77" i="24"/>
  <c r="E141" i="24"/>
  <c r="B86" i="24"/>
  <c r="B142" i="24"/>
  <c r="E59" i="24"/>
  <c r="E78" i="24"/>
  <c r="E101" i="24"/>
  <c r="E123" i="24"/>
  <c r="E142" i="24"/>
  <c r="B87" i="24"/>
  <c r="B119" i="24"/>
  <c r="E62" i="24"/>
  <c r="E107" i="24"/>
  <c r="E149" i="24"/>
  <c r="B95" i="24"/>
  <c r="B55" i="24"/>
  <c r="B71" i="24"/>
  <c r="E61" i="24"/>
  <c r="E83" i="24"/>
  <c r="E102" i="24"/>
  <c r="E125" i="24"/>
  <c r="E147" i="24"/>
  <c r="B94" i="24"/>
  <c r="B126" i="24"/>
  <c r="E43" i="24"/>
  <c r="E85" i="24"/>
  <c r="E126" i="24"/>
  <c r="B47" i="24"/>
  <c r="B127" i="24"/>
  <c r="B102" i="24"/>
  <c r="B63" i="24"/>
  <c r="B54" i="24"/>
  <c r="B125" i="24"/>
  <c r="B61" i="24"/>
  <c r="B116" i="24"/>
  <c r="B52" i="24"/>
  <c r="B115" i="24"/>
  <c r="B51" i="24"/>
  <c r="B138" i="24"/>
  <c r="B74" i="24"/>
  <c r="B129" i="24"/>
  <c r="B65" i="24"/>
  <c r="B120" i="24"/>
  <c r="B56" i="24"/>
  <c r="B117" i="24"/>
  <c r="B53" i="24"/>
  <c r="B108" i="24"/>
  <c r="B44" i="24"/>
  <c r="B107" i="24"/>
  <c r="B43" i="24"/>
  <c r="B130" i="24"/>
  <c r="B66" i="24"/>
  <c r="B62" i="24"/>
  <c r="B121" i="24"/>
  <c r="B57" i="24"/>
  <c r="B112" i="24"/>
  <c r="B48" i="24"/>
  <c r="B109" i="24"/>
  <c r="B45" i="24"/>
  <c r="B100" i="24"/>
  <c r="B99" i="24"/>
  <c r="B122" i="24"/>
  <c r="B58" i="24"/>
  <c r="B113" i="24"/>
  <c r="B49" i="24"/>
  <c r="B104" i="24"/>
  <c r="B101" i="24"/>
  <c r="B92" i="24"/>
  <c r="B91" i="24"/>
  <c r="B114" i="24"/>
  <c r="B50" i="24"/>
  <c r="B105" i="24"/>
  <c r="B96" i="24"/>
  <c r="B93" i="24"/>
  <c r="B148" i="24"/>
  <c r="B84" i="24"/>
  <c r="B147" i="24"/>
  <c r="B83" i="24"/>
  <c r="B106" i="24"/>
  <c r="B42" i="24"/>
  <c r="B97" i="24"/>
  <c r="B88" i="24"/>
  <c r="B149" i="24"/>
  <c r="B85" i="24"/>
  <c r="B140" i="24"/>
  <c r="B76" i="24"/>
  <c r="B139" i="24"/>
  <c r="B75" i="24"/>
  <c r="B98" i="24"/>
  <c r="B89" i="24"/>
  <c r="B144" i="24"/>
  <c r="B80" i="24"/>
  <c r="B78" i="24"/>
  <c r="B133" i="24"/>
  <c r="B69" i="24"/>
  <c r="B124" i="24"/>
  <c r="B60" i="24"/>
  <c r="B123" i="24"/>
  <c r="B59" i="24"/>
  <c r="B46" i="24"/>
  <c r="B146" i="24"/>
  <c r="B82" i="24"/>
  <c r="B137" i="24"/>
  <c r="B73" i="24"/>
  <c r="B128" i="24"/>
  <c r="B64" i="24"/>
  <c r="B131" i="24"/>
  <c r="B67" i="24"/>
  <c r="B136" i="24"/>
  <c r="B141" i="24"/>
  <c r="B70" i="24"/>
  <c r="B72" i="24"/>
  <c r="B77" i="24"/>
  <c r="B90" i="24"/>
  <c r="B132" i="24"/>
  <c r="B68" i="24"/>
  <c r="B145" i="24"/>
  <c r="B81" i="24"/>
  <c r="A1" i="17"/>
  <c r="E42" i="16"/>
  <c r="E50" i="16"/>
  <c r="E58" i="16"/>
  <c r="E43" i="16"/>
  <c r="E51" i="16"/>
  <c r="E59" i="16"/>
  <c r="E57" i="16"/>
  <c r="E44" i="16"/>
  <c r="E52" i="16"/>
  <c r="E60" i="16"/>
  <c r="E45" i="16"/>
  <c r="E53" i="16"/>
  <c r="E61" i="16"/>
  <c r="E46" i="16"/>
  <c r="E54" i="16"/>
  <c r="E62" i="16"/>
  <c r="E49" i="16"/>
  <c r="E47" i="16"/>
  <c r="E55" i="16"/>
  <c r="E63" i="16"/>
  <c r="E48" i="16"/>
  <c r="E56" i="16"/>
  <c r="E64" i="16"/>
  <c r="E65" i="16"/>
  <c r="E66"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E67" i="16"/>
  <c r="B67" i="16"/>
  <c r="E68" i="16"/>
  <c r="B68" i="16"/>
  <c r="E69" i="16"/>
  <c r="B69" i="16"/>
  <c r="E70" i="16"/>
  <c r="B70" i="16"/>
  <c r="E71" i="16"/>
  <c r="B71" i="16"/>
  <c r="E72" i="16"/>
  <c r="B72" i="16"/>
  <c r="E73" i="16"/>
  <c r="B73" i="16"/>
  <c r="E74" i="16"/>
  <c r="B74" i="16"/>
  <c r="E75" i="16"/>
  <c r="B75" i="16"/>
  <c r="E76" i="16"/>
  <c r="B76" i="16"/>
  <c r="E77" i="16"/>
  <c r="B77" i="16"/>
  <c r="E78" i="16"/>
  <c r="B78" i="16"/>
  <c r="E79" i="16"/>
  <c r="B79" i="16"/>
  <c r="E80" i="16"/>
  <c r="B80" i="16"/>
  <c r="E81" i="16"/>
  <c r="B81" i="16"/>
  <c r="E82" i="16"/>
  <c r="B82" i="16"/>
  <c r="E83" i="16"/>
  <c r="B83" i="16"/>
  <c r="E84" i="16"/>
  <c r="B84" i="16"/>
  <c r="E85" i="16"/>
  <c r="B85" i="16"/>
  <c r="E86" i="16"/>
  <c r="B86" i="16"/>
  <c r="E87" i="16"/>
  <c r="B87" i="16"/>
  <c r="E88" i="16"/>
  <c r="B88" i="16"/>
  <c r="E89" i="16"/>
  <c r="B89" i="16"/>
  <c r="E90" i="16"/>
  <c r="B90" i="16"/>
  <c r="E91" i="16"/>
  <c r="B91" i="16"/>
  <c r="E92" i="16"/>
  <c r="B92" i="16"/>
  <c r="E93" i="16"/>
  <c r="B93" i="16"/>
  <c r="E94" i="16"/>
  <c r="B94" i="16"/>
  <c r="E95" i="16"/>
  <c r="B95" i="16"/>
  <c r="E96" i="16"/>
  <c r="B96" i="16"/>
  <c r="E97" i="16"/>
  <c r="B97" i="16"/>
  <c r="E98" i="16"/>
  <c r="B98" i="16"/>
  <c r="E99" i="16"/>
  <c r="B99" i="16"/>
  <c r="E100" i="16"/>
  <c r="B100" i="16"/>
  <c r="E101" i="16"/>
  <c r="B101" i="16"/>
  <c r="E102" i="16"/>
  <c r="B102" i="16"/>
  <c r="E103" i="16"/>
  <c r="B103" i="16"/>
  <c r="E104" i="16"/>
  <c r="B104" i="16"/>
  <c r="E105" i="16"/>
  <c r="B105" i="16"/>
  <c r="E106" i="16"/>
  <c r="B106" i="16"/>
  <c r="E107" i="16"/>
  <c r="B107" i="16"/>
  <c r="E108" i="16"/>
  <c r="B108" i="16"/>
  <c r="E109" i="16"/>
  <c r="B109" i="16"/>
  <c r="E110" i="16"/>
  <c r="B110" i="16"/>
  <c r="E111" i="16"/>
  <c r="B111" i="16"/>
  <c r="E112" i="16"/>
  <c r="B112" i="16"/>
  <c r="E113" i="16"/>
  <c r="B113" i="16"/>
  <c r="E114" i="16"/>
  <c r="B114" i="16"/>
  <c r="E115" i="16"/>
  <c r="B115" i="16"/>
  <c r="E116" i="16"/>
  <c r="B116" i="16"/>
  <c r="E117" i="16"/>
  <c r="B117" i="16"/>
  <c r="E118" i="16"/>
  <c r="B118" i="16"/>
  <c r="E119" i="16"/>
  <c r="B119" i="16"/>
  <c r="E120" i="16"/>
  <c r="B120" i="16"/>
  <c r="E121" i="16"/>
  <c r="B121" i="16"/>
  <c r="E122" i="16"/>
  <c r="B122" i="16"/>
  <c r="E123" i="16"/>
  <c r="B123" i="16"/>
  <c r="E124" i="16"/>
  <c r="B124" i="16"/>
  <c r="E125" i="16"/>
  <c r="B125" i="16"/>
  <c r="E126" i="16"/>
  <c r="B126" i="16"/>
  <c r="E127" i="16"/>
  <c r="B127" i="16"/>
  <c r="E128" i="16"/>
  <c r="B128" i="16"/>
  <c r="E129" i="16"/>
  <c r="B129" i="16"/>
  <c r="E130" i="16"/>
  <c r="B130" i="16"/>
  <c r="E131" i="16"/>
  <c r="B131" i="16"/>
  <c r="E132" i="16"/>
  <c r="B132" i="16"/>
  <c r="E133" i="16"/>
  <c r="B133" i="16"/>
  <c r="E134" i="16"/>
  <c r="B134" i="16"/>
  <c r="E135" i="16"/>
  <c r="B135" i="16"/>
  <c r="E136" i="16"/>
  <c r="B136" i="16"/>
  <c r="E137" i="16"/>
  <c r="B137" i="16"/>
  <c r="E138" i="16"/>
  <c r="B138" i="16"/>
  <c r="E139" i="16"/>
  <c r="B139" i="16"/>
  <c r="E140" i="16"/>
  <c r="B140" i="16"/>
  <c r="E141" i="16"/>
  <c r="B141" i="16"/>
  <c r="E142" i="16"/>
  <c r="B142" i="16"/>
  <c r="E143" i="16"/>
  <c r="B143" i="16"/>
  <c r="E144" i="16"/>
  <c r="B144" i="16"/>
  <c r="E145" i="16"/>
  <c r="B145" i="16"/>
  <c r="E146" i="16"/>
  <c r="D146" i="16" s="1"/>
  <c r="E146" i="17" s="1"/>
  <c r="B146" i="16"/>
  <c r="B147" i="16"/>
  <c r="A147" i="17" s="1"/>
  <c r="E147" i="16"/>
  <c r="D147" i="16" s="1"/>
  <c r="E147" i="17" s="1"/>
  <c r="A149" i="16"/>
  <c r="B148" i="16"/>
  <c r="A148" i="17" s="1"/>
  <c r="E46" i="2"/>
  <c r="D46" i="2" s="1"/>
  <c r="E46" i="8" s="1"/>
  <c r="E55" i="2"/>
  <c r="D55" i="2" s="1"/>
  <c r="E55" i="8" s="1"/>
  <c r="E42" i="2"/>
  <c r="D42" i="2" s="1"/>
  <c r="E42" i="8" s="1"/>
  <c r="E44" i="2"/>
  <c r="D44" i="2" s="1"/>
  <c r="E44" i="8" s="1"/>
  <c r="E53" i="2"/>
  <c r="D53" i="2" s="1"/>
  <c r="E53" i="8" s="1"/>
  <c r="E49" i="2"/>
  <c r="D49" i="2" s="1"/>
  <c r="E49" i="8" s="1"/>
  <c r="E51" i="2"/>
  <c r="D51" i="2" s="1"/>
  <c r="E51" i="8" s="1"/>
  <c r="E47" i="2"/>
  <c r="D47" i="2" s="1"/>
  <c r="E47" i="8" s="1"/>
  <c r="E45" i="2"/>
  <c r="D45" i="2" s="1"/>
  <c r="E45" i="8" s="1"/>
  <c r="E56" i="2"/>
  <c r="D56" i="2" s="1"/>
  <c r="E56" i="8" s="1"/>
  <c r="E63" i="2"/>
  <c r="D63" i="2" s="1"/>
  <c r="E63" i="8" s="1"/>
  <c r="E43" i="2"/>
  <c r="D43" i="2" s="1"/>
  <c r="E43" i="8" s="1"/>
  <c r="E54" i="2"/>
  <c r="D54" i="2" s="1"/>
  <c r="E54" i="8" s="1"/>
  <c r="E61" i="2"/>
  <c r="D61" i="2" s="1"/>
  <c r="E61" i="8" s="1"/>
  <c r="E50" i="2"/>
  <c r="D50" i="2" s="1"/>
  <c r="E50" i="8" s="1"/>
  <c r="E52" i="2"/>
  <c r="D52" i="2" s="1"/>
  <c r="E52" i="8" s="1"/>
  <c r="E59" i="2"/>
  <c r="D59" i="2" s="1"/>
  <c r="E59" i="8" s="1"/>
  <c r="E48" i="2"/>
  <c r="D48" i="2" s="1"/>
  <c r="E48" i="8" s="1"/>
  <c r="E57" i="2"/>
  <c r="D57" i="2" s="1"/>
  <c r="E57" i="8" s="1"/>
  <c r="E64" i="2"/>
  <c r="D64" i="2" s="1"/>
  <c r="E64" i="8" s="1"/>
  <c r="F66" i="2"/>
  <c r="E69" i="2"/>
  <c r="D69" i="2" s="1"/>
  <c r="E69" i="8" s="1"/>
  <c r="F71" i="2"/>
  <c r="F76" i="2"/>
  <c r="E81" i="2"/>
  <c r="D81" i="2" s="1"/>
  <c r="E81" i="8" s="1"/>
  <c r="F83" i="2"/>
  <c r="F90" i="2"/>
  <c r="E95" i="2"/>
  <c r="D95" i="2" s="1"/>
  <c r="E95" i="8" s="1"/>
  <c r="F97" i="2"/>
  <c r="E102" i="2"/>
  <c r="D102" i="2" s="1"/>
  <c r="E102" i="8" s="1"/>
  <c r="F104" i="2"/>
  <c r="E107" i="2"/>
  <c r="D107" i="2" s="1"/>
  <c r="E107" i="8" s="1"/>
  <c r="F109" i="2"/>
  <c r="E116" i="2"/>
  <c r="D116" i="2" s="1"/>
  <c r="E116" i="8" s="1"/>
  <c r="F118" i="2"/>
  <c r="E123" i="2"/>
  <c r="D123" i="2" s="1"/>
  <c r="E123" i="8" s="1"/>
  <c r="F125" i="2"/>
  <c r="E130" i="2"/>
  <c r="D130" i="2" s="1"/>
  <c r="E130" i="8" s="1"/>
  <c r="E135" i="2"/>
  <c r="D135" i="2" s="1"/>
  <c r="E135" i="8" s="1"/>
  <c r="F137" i="2"/>
  <c r="E142" i="2"/>
  <c r="D142" i="2" s="1"/>
  <c r="E142" i="8" s="1"/>
  <c r="F144" i="2"/>
  <c r="F149" i="2"/>
  <c r="E154" i="2"/>
  <c r="D154" i="2" s="1"/>
  <c r="E154" i="8" s="1"/>
  <c r="B44" i="2"/>
  <c r="A44" i="8" s="1"/>
  <c r="B52" i="2"/>
  <c r="A52" i="8" s="1"/>
  <c r="B60" i="2"/>
  <c r="A60" i="8" s="1"/>
  <c r="B68" i="2"/>
  <c r="A68" i="8" s="1"/>
  <c r="B76" i="2"/>
  <c r="A76" i="8" s="1"/>
  <c r="B84" i="2"/>
  <c r="A84" i="8" s="1"/>
  <c r="B92" i="2"/>
  <c r="A92" i="8" s="1"/>
  <c r="B100" i="2"/>
  <c r="A100" i="8" s="1"/>
  <c r="B108" i="2"/>
  <c r="A108" i="8" s="1"/>
  <c r="B116" i="2"/>
  <c r="A116" i="8" s="1"/>
  <c r="B124" i="2"/>
  <c r="A124" i="8" s="1"/>
  <c r="B132" i="2"/>
  <c r="A132" i="8" s="1"/>
  <c r="B140" i="2"/>
  <c r="A140" i="8" s="1"/>
  <c r="B148" i="2"/>
  <c r="A148" i="8" s="1"/>
  <c r="B156" i="2"/>
  <c r="A156" i="8" s="1"/>
  <c r="F69" i="2"/>
  <c r="E74" i="2"/>
  <c r="D74" i="2" s="1"/>
  <c r="E74" i="8" s="1"/>
  <c r="E79" i="2"/>
  <c r="D79" i="2" s="1"/>
  <c r="E79" i="8" s="1"/>
  <c r="F81" i="2"/>
  <c r="E88" i="2"/>
  <c r="D88" i="2" s="1"/>
  <c r="E88" i="8" s="1"/>
  <c r="E93" i="2"/>
  <c r="D93" i="2" s="1"/>
  <c r="E93" i="8" s="1"/>
  <c r="F95" i="2"/>
  <c r="E100" i="2"/>
  <c r="D100" i="2" s="1"/>
  <c r="E100" i="8" s="1"/>
  <c r="F102" i="2"/>
  <c r="F107" i="2"/>
  <c r="E114" i="2"/>
  <c r="D114" i="2" s="1"/>
  <c r="E114" i="8" s="1"/>
  <c r="F116" i="2"/>
  <c r="E121" i="2"/>
  <c r="D121" i="2" s="1"/>
  <c r="E121" i="8" s="1"/>
  <c r="F123" i="2"/>
  <c r="E128" i="2"/>
  <c r="D128" i="2" s="1"/>
  <c r="E128" i="8" s="1"/>
  <c r="F130" i="2"/>
  <c r="E133" i="2"/>
  <c r="D133" i="2" s="1"/>
  <c r="E133" i="8" s="1"/>
  <c r="F135" i="2"/>
  <c r="E140" i="2"/>
  <c r="D140" i="2" s="1"/>
  <c r="E140" i="8" s="1"/>
  <c r="F142" i="2"/>
  <c r="E147" i="2"/>
  <c r="D147" i="2" s="1"/>
  <c r="E147" i="8" s="1"/>
  <c r="F154" i="2"/>
  <c r="E157" i="2"/>
  <c r="D157" i="2" s="1"/>
  <c r="E157" i="8" s="1"/>
  <c r="B45" i="2"/>
  <c r="A45" i="8" s="1"/>
  <c r="B53" i="2"/>
  <c r="A53" i="8" s="1"/>
  <c r="B61" i="2"/>
  <c r="A61" i="8" s="1"/>
  <c r="E62" i="2"/>
  <c r="D62" i="2" s="1"/>
  <c r="E62" i="8" s="1"/>
  <c r="E67" i="2"/>
  <c r="D67" i="2" s="1"/>
  <c r="E67" i="8" s="1"/>
  <c r="F74" i="2"/>
  <c r="E77" i="2"/>
  <c r="D77" i="2" s="1"/>
  <c r="E77" i="8" s="1"/>
  <c r="F79" i="2"/>
  <c r="E86" i="2"/>
  <c r="D86" i="2" s="1"/>
  <c r="E86" i="8" s="1"/>
  <c r="F88" i="2"/>
  <c r="E91" i="2"/>
  <c r="D91" i="2" s="1"/>
  <c r="E91" i="8" s="1"/>
  <c r="F93" i="2"/>
  <c r="E98" i="2"/>
  <c r="D98" i="2" s="1"/>
  <c r="E98" i="8" s="1"/>
  <c r="F100" i="2"/>
  <c r="E105" i="2"/>
  <c r="D105" i="2" s="1"/>
  <c r="E105" i="8" s="1"/>
  <c r="E112" i="2"/>
  <c r="D112" i="2" s="1"/>
  <c r="E112" i="8" s="1"/>
  <c r="F114" i="2"/>
  <c r="E119" i="2"/>
  <c r="D119" i="2" s="1"/>
  <c r="E119" i="8" s="1"/>
  <c r="F121" i="2"/>
  <c r="F128" i="2"/>
  <c r="F133" i="2"/>
  <c r="F140" i="2"/>
  <c r="E145" i="2"/>
  <c r="D145" i="2" s="1"/>
  <c r="E145" i="8" s="1"/>
  <c r="F147" i="2"/>
  <c r="E152" i="2"/>
  <c r="D152" i="2" s="1"/>
  <c r="E152" i="8" s="1"/>
  <c r="F157" i="2"/>
  <c r="B46" i="2"/>
  <c r="A46" i="8" s="1"/>
  <c r="B54" i="2"/>
  <c r="A54" i="8" s="1"/>
  <c r="B62" i="2"/>
  <c r="A62" i="8" s="1"/>
  <c r="B70" i="2"/>
  <c r="A70" i="8" s="1"/>
  <c r="B78" i="2"/>
  <c r="A78" i="8" s="1"/>
  <c r="B86" i="2"/>
  <c r="A86" i="8" s="1"/>
  <c r="B94" i="2"/>
  <c r="A94" i="8" s="1"/>
  <c r="B102" i="2"/>
  <c r="A102" i="8" s="1"/>
  <c r="B110" i="2"/>
  <c r="A110" i="8" s="1"/>
  <c r="B118" i="2"/>
  <c r="A118" i="8" s="1"/>
  <c r="B126" i="2"/>
  <c r="A126" i="8" s="1"/>
  <c r="B134" i="2"/>
  <c r="A134" i="8" s="1"/>
  <c r="B142" i="2"/>
  <c r="A142" i="8" s="1"/>
  <c r="B150" i="2"/>
  <c r="A150" i="8" s="1"/>
  <c r="B158" i="2"/>
  <c r="A158" i="8" s="1"/>
  <c r="E65" i="2"/>
  <c r="D65" i="2" s="1"/>
  <c r="E65" i="8" s="1"/>
  <c r="F67" i="2"/>
  <c r="E72" i="2"/>
  <c r="D72" i="2" s="1"/>
  <c r="E72" i="8" s="1"/>
  <c r="F77" i="2"/>
  <c r="E84" i="2"/>
  <c r="D84" i="2" s="1"/>
  <c r="E84" i="8" s="1"/>
  <c r="F86" i="2"/>
  <c r="F91" i="2"/>
  <c r="F98" i="2"/>
  <c r="E103" i="2"/>
  <c r="D103" i="2" s="1"/>
  <c r="E103" i="8" s="1"/>
  <c r="F105" i="2"/>
  <c r="E110" i="2"/>
  <c r="D110" i="2" s="1"/>
  <c r="E110" i="8" s="1"/>
  <c r="F112" i="2"/>
  <c r="E117" i="2"/>
  <c r="D117" i="2" s="1"/>
  <c r="E117" i="8" s="1"/>
  <c r="F119" i="2"/>
  <c r="E126" i="2"/>
  <c r="D126" i="2" s="1"/>
  <c r="E126" i="8" s="1"/>
  <c r="E131" i="2"/>
  <c r="D131" i="2" s="1"/>
  <c r="E131" i="8" s="1"/>
  <c r="E138" i="2"/>
  <c r="D138" i="2" s="1"/>
  <c r="E138" i="8" s="1"/>
  <c r="E143" i="2"/>
  <c r="D143" i="2" s="1"/>
  <c r="E143" i="8" s="1"/>
  <c r="F145" i="2"/>
  <c r="E150" i="2"/>
  <c r="D150" i="2" s="1"/>
  <c r="E150" i="8" s="1"/>
  <c r="F152" i="2"/>
  <c r="E155" i="2"/>
  <c r="D155" i="2" s="1"/>
  <c r="E155" i="8" s="1"/>
  <c r="B47" i="2"/>
  <c r="A47" i="8" s="1"/>
  <c r="B55" i="2"/>
  <c r="A55" i="8" s="1"/>
  <c r="B63" i="2"/>
  <c r="A63" i="8" s="1"/>
  <c r="E58" i="2"/>
  <c r="D58" i="2" s="1"/>
  <c r="E58" i="8" s="1"/>
  <c r="E70" i="2"/>
  <c r="D70" i="2" s="1"/>
  <c r="E70" i="8" s="1"/>
  <c r="F72" i="2"/>
  <c r="E75" i="2"/>
  <c r="D75" i="2" s="1"/>
  <c r="E75" i="8" s="1"/>
  <c r="E82" i="2"/>
  <c r="D82" i="2" s="1"/>
  <c r="E82" i="8" s="1"/>
  <c r="F84" i="2"/>
  <c r="E89" i="2"/>
  <c r="D89" i="2" s="1"/>
  <c r="E89" i="8" s="1"/>
  <c r="E96" i="2"/>
  <c r="D96" i="2" s="1"/>
  <c r="E96" i="8" s="1"/>
  <c r="E101" i="2"/>
  <c r="D101" i="2" s="1"/>
  <c r="E101" i="8" s="1"/>
  <c r="F103" i="2"/>
  <c r="E108" i="2"/>
  <c r="D108" i="2" s="1"/>
  <c r="E108" i="8" s="1"/>
  <c r="F110" i="2"/>
  <c r="E115" i="2"/>
  <c r="D115" i="2" s="1"/>
  <c r="E115" i="8" s="1"/>
  <c r="F117" i="2"/>
  <c r="E124" i="2"/>
  <c r="D124" i="2" s="1"/>
  <c r="E124" i="8" s="1"/>
  <c r="F126" i="2"/>
  <c r="E129" i="2"/>
  <c r="D129" i="2" s="1"/>
  <c r="E129" i="8" s="1"/>
  <c r="F131" i="2"/>
  <c r="E136" i="2"/>
  <c r="D136" i="2" s="1"/>
  <c r="E136" i="8" s="1"/>
  <c r="F138" i="2"/>
  <c r="E141" i="2"/>
  <c r="D141" i="2" s="1"/>
  <c r="E141" i="8" s="1"/>
  <c r="F143" i="2"/>
  <c r="E148" i="2"/>
  <c r="D148" i="2" s="1"/>
  <c r="E148" i="8" s="1"/>
  <c r="F150" i="2"/>
  <c r="F155" i="2"/>
  <c r="B48" i="2"/>
  <c r="A48" i="8" s="1"/>
  <c r="B56" i="2"/>
  <c r="A56" i="8" s="1"/>
  <c r="B64" i="2"/>
  <c r="A64" i="8" s="1"/>
  <c r="B72" i="2"/>
  <c r="A72" i="8" s="1"/>
  <c r="B80" i="2"/>
  <c r="A80" i="8" s="1"/>
  <c r="B88" i="2"/>
  <c r="A88" i="8" s="1"/>
  <c r="B96" i="2"/>
  <c r="A96" i="8" s="1"/>
  <c r="B104" i="2"/>
  <c r="A104" i="8" s="1"/>
  <c r="B112" i="2"/>
  <c r="A112" i="8" s="1"/>
  <c r="B120" i="2"/>
  <c r="A120" i="8" s="1"/>
  <c r="B128" i="2"/>
  <c r="A128" i="8" s="1"/>
  <c r="B136" i="2"/>
  <c r="A136" i="8" s="1"/>
  <c r="B144" i="2"/>
  <c r="A144" i="8" s="1"/>
  <c r="B152" i="2"/>
  <c r="A152" i="8" s="1"/>
  <c r="E60" i="2"/>
  <c r="D60" i="2" s="1"/>
  <c r="E60" i="8" s="1"/>
  <c r="E68" i="2"/>
  <c r="D68" i="2" s="1"/>
  <c r="E68" i="8" s="1"/>
  <c r="F70" i="2"/>
  <c r="F75" i="2"/>
  <c r="E80" i="2"/>
  <c r="D80" i="2" s="1"/>
  <c r="E80" i="8" s="1"/>
  <c r="F82" i="2"/>
  <c r="E87" i="2"/>
  <c r="D87" i="2" s="1"/>
  <c r="E87" i="8" s="1"/>
  <c r="F89" i="2"/>
  <c r="E94" i="2"/>
  <c r="D94" i="2" s="1"/>
  <c r="E94" i="8" s="1"/>
  <c r="F96" i="2"/>
  <c r="E99" i="2"/>
  <c r="D99" i="2" s="1"/>
  <c r="E99" i="8" s="1"/>
  <c r="F101" i="2"/>
  <c r="E106" i="2"/>
  <c r="D106" i="2" s="1"/>
  <c r="E106" i="8" s="1"/>
  <c r="F108" i="2"/>
  <c r="E113" i="2"/>
  <c r="D113" i="2" s="1"/>
  <c r="E113" i="8" s="1"/>
  <c r="F115" i="2"/>
  <c r="E122" i="2"/>
  <c r="D122" i="2" s="1"/>
  <c r="E122" i="8" s="1"/>
  <c r="F124" i="2"/>
  <c r="F129" i="2"/>
  <c r="E134" i="2"/>
  <c r="D134" i="2" s="1"/>
  <c r="E134" i="8" s="1"/>
  <c r="F136" i="2"/>
  <c r="F141" i="2"/>
  <c r="F148" i="2"/>
  <c r="E153" i="2"/>
  <c r="D153" i="2" s="1"/>
  <c r="E153" i="8" s="1"/>
  <c r="E158" i="2"/>
  <c r="D158" i="2" s="1"/>
  <c r="E158" i="8" s="1"/>
  <c r="B49" i="2"/>
  <c r="A49" i="8" s="1"/>
  <c r="B57" i="2"/>
  <c r="A57" i="8" s="1"/>
  <c r="B65" i="2"/>
  <c r="A65" i="8" s="1"/>
  <c r="B73" i="2"/>
  <c r="A73" i="8" s="1"/>
  <c r="B81" i="2"/>
  <c r="A81" i="8" s="1"/>
  <c r="B89" i="2"/>
  <c r="A89" i="8" s="1"/>
  <c r="B97" i="2"/>
  <c r="A97" i="8" s="1"/>
  <c r="B105" i="2"/>
  <c r="A105" i="8" s="1"/>
  <c r="B113" i="2"/>
  <c r="A113" i="8" s="1"/>
  <c r="B121" i="2"/>
  <c r="A121" i="8" s="1"/>
  <c r="B129" i="2"/>
  <c r="A129" i="8" s="1"/>
  <c r="B137" i="2"/>
  <c r="A137" i="8" s="1"/>
  <c r="B145" i="2"/>
  <c r="A145" i="8" s="1"/>
  <c r="B153" i="2"/>
  <c r="A153" i="8" s="1"/>
  <c r="E66" i="2"/>
  <c r="D66" i="2" s="1"/>
  <c r="E66" i="8" s="1"/>
  <c r="E71" i="2"/>
  <c r="D71" i="2" s="1"/>
  <c r="E71" i="8" s="1"/>
  <c r="F73" i="2"/>
  <c r="E76" i="2"/>
  <c r="D76" i="2" s="1"/>
  <c r="E76" i="8" s="1"/>
  <c r="F78" i="2"/>
  <c r="E83" i="2"/>
  <c r="D83" i="2" s="1"/>
  <c r="E83" i="8" s="1"/>
  <c r="F85" i="2"/>
  <c r="E90" i="2"/>
  <c r="D90" i="2" s="1"/>
  <c r="E90" i="8" s="1"/>
  <c r="F92" i="2"/>
  <c r="E97" i="2"/>
  <c r="D97" i="2" s="1"/>
  <c r="E97" i="8" s="1"/>
  <c r="E104" i="2"/>
  <c r="D104" i="2" s="1"/>
  <c r="E104" i="8" s="1"/>
  <c r="E109" i="2"/>
  <c r="D109" i="2" s="1"/>
  <c r="E109" i="8" s="1"/>
  <c r="F111" i="2"/>
  <c r="E118" i="2"/>
  <c r="D118" i="2" s="1"/>
  <c r="E118" i="8" s="1"/>
  <c r="F120" i="2"/>
  <c r="E125" i="2"/>
  <c r="D125" i="2" s="1"/>
  <c r="E125" i="8" s="1"/>
  <c r="F127" i="2"/>
  <c r="F132" i="2"/>
  <c r="E137" i="2"/>
  <c r="D137" i="2" s="1"/>
  <c r="E137" i="8" s="1"/>
  <c r="F139" i="2"/>
  <c r="E144" i="2"/>
  <c r="D144" i="2" s="1"/>
  <c r="E144" i="8" s="1"/>
  <c r="F146" i="2"/>
  <c r="E149" i="2"/>
  <c r="D149" i="2" s="1"/>
  <c r="E149" i="8" s="1"/>
  <c r="F151" i="2"/>
  <c r="F156" i="2"/>
  <c r="B43" i="2"/>
  <c r="A43" i="8" s="1"/>
  <c r="B51" i="2"/>
  <c r="A51" i="8" s="1"/>
  <c r="B59" i="2"/>
  <c r="A59" i="8" s="1"/>
  <c r="B67" i="2"/>
  <c r="A67" i="8" s="1"/>
  <c r="B75" i="2"/>
  <c r="A75" i="8" s="1"/>
  <c r="B83" i="2"/>
  <c r="A83" i="8" s="1"/>
  <c r="B91" i="2"/>
  <c r="A91" i="8" s="1"/>
  <c r="B99" i="2"/>
  <c r="A99" i="8" s="1"/>
  <c r="B107" i="2"/>
  <c r="A107" i="8" s="1"/>
  <c r="B115" i="2"/>
  <c r="A115" i="8" s="1"/>
  <c r="B123" i="2"/>
  <c r="A123" i="8" s="1"/>
  <c r="B131" i="2"/>
  <c r="A131" i="8" s="1"/>
  <c r="B139" i="2"/>
  <c r="A139" i="8" s="1"/>
  <c r="B147" i="2"/>
  <c r="A147" i="8" s="1"/>
  <c r="B155" i="2"/>
  <c r="A155" i="8" s="1"/>
  <c r="E120" i="2"/>
  <c r="D120" i="2" s="1"/>
  <c r="E120" i="8" s="1"/>
  <c r="E139" i="2"/>
  <c r="D139" i="2" s="1"/>
  <c r="E139" i="8" s="1"/>
  <c r="F158" i="2"/>
  <c r="B71" i="2"/>
  <c r="A71" i="8" s="1"/>
  <c r="B93" i="2"/>
  <c r="B114" i="2"/>
  <c r="A114" i="8" s="1"/>
  <c r="B135" i="2"/>
  <c r="A135" i="8" s="1"/>
  <c r="B157" i="2"/>
  <c r="A157" i="8" s="1"/>
  <c r="B154" i="2"/>
  <c r="A154" i="8" s="1"/>
  <c r="E85" i="2"/>
  <c r="D85" i="2" s="1"/>
  <c r="E85" i="8" s="1"/>
  <c r="F122" i="2"/>
  <c r="B74" i="2"/>
  <c r="A74" i="8" s="1"/>
  <c r="B95" i="2"/>
  <c r="A95" i="8" s="1"/>
  <c r="B117" i="2"/>
  <c r="A117" i="8" s="1"/>
  <c r="B138" i="2"/>
  <c r="A138" i="8" s="1"/>
  <c r="F99" i="2"/>
  <c r="F68" i="2"/>
  <c r="F87" i="2"/>
  <c r="F106" i="2"/>
  <c r="B77" i="2"/>
  <c r="A77" i="8" s="1"/>
  <c r="B98" i="2"/>
  <c r="A98" i="8" s="1"/>
  <c r="B119" i="2"/>
  <c r="A119" i="8" s="1"/>
  <c r="B141" i="2"/>
  <c r="A141" i="8" s="1"/>
  <c r="E127" i="2"/>
  <c r="D127" i="2" s="1"/>
  <c r="E127" i="8" s="1"/>
  <c r="E146" i="2"/>
  <c r="D146" i="2" s="1"/>
  <c r="E146" i="8" s="1"/>
  <c r="B42" i="2"/>
  <c r="A42" i="8" s="1"/>
  <c r="B79" i="2"/>
  <c r="A79" i="8" s="1"/>
  <c r="B101" i="2"/>
  <c r="A101" i="8" s="1"/>
  <c r="B122" i="2"/>
  <c r="A122" i="8" s="1"/>
  <c r="B143" i="2"/>
  <c r="A143" i="8" s="1"/>
  <c r="F80" i="2"/>
  <c r="E73" i="2"/>
  <c r="D73" i="2" s="1"/>
  <c r="E73" i="8" s="1"/>
  <c r="E92" i="2"/>
  <c r="D92" i="2" s="1"/>
  <c r="E92" i="8" s="1"/>
  <c r="E111" i="2"/>
  <c r="D111" i="2" s="1"/>
  <c r="E111" i="8" s="1"/>
  <c r="B50" i="2"/>
  <c r="A50" i="8" s="1"/>
  <c r="B82" i="2"/>
  <c r="A82" i="8" s="1"/>
  <c r="B103" i="2"/>
  <c r="B125" i="2"/>
  <c r="A125" i="8" s="1"/>
  <c r="B146" i="2"/>
  <c r="A146" i="8" s="1"/>
  <c r="E156" i="2"/>
  <c r="D156" i="2" s="1"/>
  <c r="E156" i="8" s="1"/>
  <c r="B90" i="2"/>
  <c r="A90" i="8" s="1"/>
  <c r="F94" i="2"/>
  <c r="F113" i="2"/>
  <c r="E132" i="2"/>
  <c r="D132" i="2" s="1"/>
  <c r="E132" i="8" s="1"/>
  <c r="E151" i="2"/>
  <c r="D151" i="2" s="1"/>
  <c r="E151" i="8" s="1"/>
  <c r="B58" i="2"/>
  <c r="A58" i="8" s="1"/>
  <c r="B85" i="2"/>
  <c r="A85" i="8" s="1"/>
  <c r="B106" i="2"/>
  <c r="A106" i="8" s="1"/>
  <c r="B127" i="2"/>
  <c r="A127" i="8" s="1"/>
  <c r="B149" i="2"/>
  <c r="A149" i="8" s="1"/>
  <c r="B133" i="2"/>
  <c r="A133" i="8" s="1"/>
  <c r="E78" i="2"/>
  <c r="D78" i="2" s="1"/>
  <c r="E78" i="8" s="1"/>
  <c r="F134" i="2"/>
  <c r="F153" i="2"/>
  <c r="B66" i="2"/>
  <c r="A66" i="8" s="1"/>
  <c r="B87" i="2"/>
  <c r="A87" i="8" s="1"/>
  <c r="B109" i="2"/>
  <c r="A109" i="8" s="1"/>
  <c r="B130" i="2"/>
  <c r="A130" i="8" s="1"/>
  <c r="B151" i="2"/>
  <c r="A151" i="8" s="1"/>
  <c r="B69" i="2"/>
  <c r="A69" i="8" s="1"/>
  <c r="B111" i="2"/>
  <c r="A111" i="8" s="1"/>
  <c r="B26" i="48" l="1"/>
  <c r="AD26" i="42"/>
  <c r="AE26" i="42" s="1"/>
  <c r="AC26" i="42" s="1"/>
  <c r="A27" i="42"/>
  <c r="E159" i="2"/>
  <c r="D159" i="2" s="1"/>
  <c r="E159" i="8" s="1"/>
  <c r="A152" i="24"/>
  <c r="B151" i="25"/>
  <c r="I151" i="25"/>
  <c r="G151" i="25" s="1"/>
  <c r="A151" i="25"/>
  <c r="C43" i="16"/>
  <c r="C43" i="17" s="1"/>
  <c r="B159" i="2"/>
  <c r="C159" i="2" s="1"/>
  <c r="C159" i="8" s="1"/>
  <c r="F159" i="2"/>
  <c r="C103" i="2"/>
  <c r="C103" i="8" s="1"/>
  <c r="A103" i="8"/>
  <c r="C93" i="2"/>
  <c r="C93" i="8" s="1"/>
  <c r="A93" i="8"/>
  <c r="I159" i="8"/>
  <c r="G159" i="8" s="1"/>
  <c r="B159" i="8"/>
  <c r="A160" i="2"/>
  <c r="C82" i="2"/>
  <c r="C82" i="8" s="1"/>
  <c r="E149" i="16"/>
  <c r="D149" i="16" s="1"/>
  <c r="E149" i="17" s="1"/>
  <c r="B149" i="17"/>
  <c r="I149" i="17"/>
  <c r="G149" i="17" s="1"/>
  <c r="C147" i="16"/>
  <c r="F147" i="16" s="1"/>
  <c r="C79" i="2"/>
  <c r="C79" i="8" s="1"/>
  <c r="C77" i="2"/>
  <c r="C77" i="8" s="1"/>
  <c r="D116" i="16"/>
  <c r="E116" i="17" s="1"/>
  <c r="D88" i="16"/>
  <c r="E88" i="17" s="1"/>
  <c r="C53" i="16"/>
  <c r="C53" i="17" s="1"/>
  <c r="A53" i="17"/>
  <c r="C144" i="24"/>
  <c r="C144" i="25" s="1"/>
  <c r="A144" i="25"/>
  <c r="C113" i="24"/>
  <c r="C113" i="25" s="1"/>
  <c r="A113" i="25"/>
  <c r="D139" i="24"/>
  <c r="E139" i="25" s="1"/>
  <c r="D116" i="24"/>
  <c r="E116" i="25" s="1"/>
  <c r="C144" i="16"/>
  <c r="C144" i="17" s="1"/>
  <c r="A144" i="17"/>
  <c r="A140" i="17"/>
  <c r="C140" i="16"/>
  <c r="C140" i="17" s="1"/>
  <c r="C136" i="16"/>
  <c r="C136" i="17" s="1"/>
  <c r="A136" i="17"/>
  <c r="A132" i="17"/>
  <c r="C132" i="16"/>
  <c r="C132" i="17" s="1"/>
  <c r="C128" i="16"/>
  <c r="C128" i="17" s="1"/>
  <c r="A128" i="17"/>
  <c r="C124" i="16"/>
  <c r="C124" i="17" s="1"/>
  <c r="A124" i="17"/>
  <c r="C120" i="16"/>
  <c r="C120" i="17" s="1"/>
  <c r="A120" i="17"/>
  <c r="A116" i="17"/>
  <c r="C116" i="16"/>
  <c r="C116" i="17" s="1"/>
  <c r="A112" i="17"/>
  <c r="C112" i="16"/>
  <c r="C112" i="17" s="1"/>
  <c r="A108" i="17"/>
  <c r="C108" i="16"/>
  <c r="C108" i="17" s="1"/>
  <c r="C104" i="16"/>
  <c r="C104" i="17" s="1"/>
  <c r="A104" i="17"/>
  <c r="C100" i="16"/>
  <c r="C100" i="17" s="1"/>
  <c r="A100" i="17"/>
  <c r="C96" i="16"/>
  <c r="C96" i="17" s="1"/>
  <c r="A96" i="17"/>
  <c r="A92" i="17"/>
  <c r="C92" i="16"/>
  <c r="C92" i="17" s="1"/>
  <c r="C88" i="16"/>
  <c r="C88" i="17" s="1"/>
  <c r="A88" i="17"/>
  <c r="A84" i="17"/>
  <c r="C84" i="16"/>
  <c r="C84" i="17" s="1"/>
  <c r="A80" i="17"/>
  <c r="C80" i="16"/>
  <c r="C80" i="17" s="1"/>
  <c r="A76" i="17"/>
  <c r="C76" i="16"/>
  <c r="C76" i="17" s="1"/>
  <c r="A72" i="17"/>
  <c r="C72" i="16"/>
  <c r="C72" i="17" s="1"/>
  <c r="C68" i="16"/>
  <c r="C68" i="17" s="1"/>
  <c r="A68" i="17"/>
  <c r="C62" i="16"/>
  <c r="C62" i="17" s="1"/>
  <c r="A62" i="17"/>
  <c r="C54" i="16"/>
  <c r="C54" i="17" s="1"/>
  <c r="A54" i="17"/>
  <c r="C46" i="16"/>
  <c r="C46" i="17" s="1"/>
  <c r="A46" i="17"/>
  <c r="C141" i="24"/>
  <c r="C141" i="25" s="1"/>
  <c r="A141" i="25"/>
  <c r="C73" i="24"/>
  <c r="C73" i="25" s="1"/>
  <c r="A73" i="25"/>
  <c r="C80" i="24"/>
  <c r="C80" i="25" s="1"/>
  <c r="A80" i="25"/>
  <c r="C149" i="24"/>
  <c r="C149" i="25" s="1"/>
  <c r="A149" i="25"/>
  <c r="C106" i="24"/>
  <c r="C106" i="25" s="1"/>
  <c r="A106" i="25"/>
  <c r="C92" i="24"/>
  <c r="C92" i="25" s="1"/>
  <c r="A92" i="25"/>
  <c r="C49" i="24"/>
  <c r="C49" i="25" s="1"/>
  <c r="A49" i="25"/>
  <c r="C112" i="24"/>
  <c r="C112" i="25" s="1"/>
  <c r="A112" i="25"/>
  <c r="C43" i="24"/>
  <c r="C43" i="25" s="1"/>
  <c r="A43" i="25"/>
  <c r="C138" i="24"/>
  <c r="C138" i="25" s="1"/>
  <c r="A138" i="25"/>
  <c r="C61" i="24"/>
  <c r="C61" i="25" s="1"/>
  <c r="A61" i="25"/>
  <c r="D126" i="24"/>
  <c r="E126" i="25" s="1"/>
  <c r="D147" i="24"/>
  <c r="E147" i="25" s="1"/>
  <c r="C151" i="24"/>
  <c r="F151" i="24" s="1"/>
  <c r="D78" i="24"/>
  <c r="E78" i="25" s="1"/>
  <c r="D77" i="24"/>
  <c r="E77" i="25" s="1"/>
  <c r="D99" i="24"/>
  <c r="E99" i="25" s="1"/>
  <c r="D69" i="24"/>
  <c r="E69" i="25" s="1"/>
  <c r="D122" i="24"/>
  <c r="E122" i="25" s="1"/>
  <c r="D58" i="24"/>
  <c r="E58" i="25" s="1"/>
  <c r="D105" i="24"/>
  <c r="E105" i="25" s="1"/>
  <c r="D88" i="24"/>
  <c r="E88" i="25" s="1"/>
  <c r="D135" i="24"/>
  <c r="E135" i="25" s="1"/>
  <c r="D71" i="24"/>
  <c r="E71" i="25" s="1"/>
  <c r="D124" i="24"/>
  <c r="E124" i="25" s="1"/>
  <c r="D60" i="24"/>
  <c r="E60" i="25" s="1"/>
  <c r="D124" i="16"/>
  <c r="E124" i="17" s="1"/>
  <c r="D96" i="16"/>
  <c r="E96" i="17" s="1"/>
  <c r="D68" i="16"/>
  <c r="E68" i="17" s="1"/>
  <c r="C136" i="24"/>
  <c r="C136" i="25" s="1"/>
  <c r="A136" i="25"/>
  <c r="D85" i="24"/>
  <c r="E85" i="25" s="1"/>
  <c r="D80" i="24"/>
  <c r="E80" i="25" s="1"/>
  <c r="C143" i="16"/>
  <c r="C143" i="17" s="1"/>
  <c r="A143" i="17"/>
  <c r="A139" i="17"/>
  <c r="C139" i="16"/>
  <c r="C139" i="17" s="1"/>
  <c r="C135" i="16"/>
  <c r="C135" i="17" s="1"/>
  <c r="A135" i="17"/>
  <c r="C131" i="16"/>
  <c r="C131" i="17" s="1"/>
  <c r="A131" i="17"/>
  <c r="C127" i="16"/>
  <c r="C127" i="17" s="1"/>
  <c r="A127" i="17"/>
  <c r="C123" i="16"/>
  <c r="C123" i="17" s="1"/>
  <c r="A123" i="17"/>
  <c r="C119" i="16"/>
  <c r="C119" i="17" s="1"/>
  <c r="A119" i="17"/>
  <c r="A115" i="17"/>
  <c r="C115" i="16"/>
  <c r="C115" i="17" s="1"/>
  <c r="A111" i="17"/>
  <c r="C111" i="16"/>
  <c r="C111" i="17" s="1"/>
  <c r="C107" i="16"/>
  <c r="C107" i="17" s="1"/>
  <c r="A107" i="17"/>
  <c r="A103" i="17"/>
  <c r="C103" i="16"/>
  <c r="C103" i="17" s="1"/>
  <c r="C99" i="16"/>
  <c r="C99" i="17" s="1"/>
  <c r="A99" i="17"/>
  <c r="A95" i="17"/>
  <c r="C95" i="16"/>
  <c r="C95" i="17" s="1"/>
  <c r="C91" i="16"/>
  <c r="C91" i="17" s="1"/>
  <c r="A91" i="17"/>
  <c r="A87" i="17"/>
  <c r="C87" i="16"/>
  <c r="C87" i="17" s="1"/>
  <c r="C83" i="16"/>
  <c r="C83" i="17" s="1"/>
  <c r="A83" i="17"/>
  <c r="A79" i="17"/>
  <c r="C79" i="16"/>
  <c r="C79" i="17" s="1"/>
  <c r="A75" i="17"/>
  <c r="C75" i="16"/>
  <c r="C75" i="17" s="1"/>
  <c r="C71" i="16"/>
  <c r="C71" i="17" s="1"/>
  <c r="A71" i="17"/>
  <c r="A67" i="17"/>
  <c r="C67" i="16"/>
  <c r="C67" i="17" s="1"/>
  <c r="C60" i="16"/>
  <c r="C60" i="17" s="1"/>
  <c r="A60" i="17"/>
  <c r="C52" i="16"/>
  <c r="C52" i="17" s="1"/>
  <c r="A52" i="17"/>
  <c r="C44" i="16"/>
  <c r="C44" i="17" s="1"/>
  <c r="A44" i="17"/>
  <c r="C90" i="24"/>
  <c r="C90" i="25" s="1"/>
  <c r="A90" i="25"/>
  <c r="C67" i="24"/>
  <c r="C67" i="25" s="1"/>
  <c r="A67" i="25"/>
  <c r="C124" i="24"/>
  <c r="C124" i="25" s="1"/>
  <c r="A124" i="25"/>
  <c r="C139" i="24"/>
  <c r="C139" i="25" s="1"/>
  <c r="A139" i="25"/>
  <c r="C88" i="24"/>
  <c r="C88" i="25" s="1"/>
  <c r="A88" i="25"/>
  <c r="C114" i="24"/>
  <c r="C114" i="25" s="1"/>
  <c r="A114" i="25"/>
  <c r="C100" i="24"/>
  <c r="C100" i="25" s="1"/>
  <c r="A100" i="25"/>
  <c r="C57" i="24"/>
  <c r="C57" i="25" s="1"/>
  <c r="A57" i="25"/>
  <c r="C120" i="24"/>
  <c r="C120" i="25" s="1"/>
  <c r="A120" i="25"/>
  <c r="C51" i="24"/>
  <c r="C51" i="25" s="1"/>
  <c r="A51" i="25"/>
  <c r="C54" i="24"/>
  <c r="C54" i="25" s="1"/>
  <c r="A54" i="25"/>
  <c r="D43" i="24"/>
  <c r="E43" i="25" s="1"/>
  <c r="D102" i="24"/>
  <c r="E102" i="25" s="1"/>
  <c r="C87" i="24"/>
  <c r="C87" i="25" s="1"/>
  <c r="A87" i="25"/>
  <c r="D117" i="24"/>
  <c r="E117" i="25" s="1"/>
  <c r="C103" i="24"/>
  <c r="C103" i="25" s="1"/>
  <c r="A103" i="25"/>
  <c r="D131" i="24"/>
  <c r="E131" i="25" s="1"/>
  <c r="D106" i="24"/>
  <c r="E106" i="25" s="1"/>
  <c r="D42" i="24"/>
  <c r="E42" i="25" s="1"/>
  <c r="D89" i="24"/>
  <c r="E89" i="25" s="1"/>
  <c r="D136" i="24"/>
  <c r="E136" i="25" s="1"/>
  <c r="D72" i="24"/>
  <c r="E72" i="25" s="1"/>
  <c r="D119" i="24"/>
  <c r="E119" i="25" s="1"/>
  <c r="D55" i="24"/>
  <c r="E55" i="25" s="1"/>
  <c r="D108" i="24"/>
  <c r="E108" i="25" s="1"/>
  <c r="D44" i="24"/>
  <c r="E44" i="25" s="1"/>
  <c r="D140" i="16"/>
  <c r="E140" i="17" s="1"/>
  <c r="D112" i="16"/>
  <c r="E112" i="17" s="1"/>
  <c r="D84" i="16"/>
  <c r="E84" i="17" s="1"/>
  <c r="C45" i="16"/>
  <c r="C45" i="17" s="1"/>
  <c r="A45" i="17"/>
  <c r="C107" i="24"/>
  <c r="C107" i="25" s="1"/>
  <c r="A107" i="25"/>
  <c r="C55" i="24"/>
  <c r="C55" i="25" s="1"/>
  <c r="A55" i="25"/>
  <c r="D150" i="24"/>
  <c r="E150" i="25" s="1"/>
  <c r="D144" i="24"/>
  <c r="E144" i="25" s="1"/>
  <c r="D143" i="16"/>
  <c r="E143" i="17" s="1"/>
  <c r="D139" i="16"/>
  <c r="E139" i="17" s="1"/>
  <c r="D135" i="16"/>
  <c r="E135" i="17" s="1"/>
  <c r="D131" i="16"/>
  <c r="E131" i="17" s="1"/>
  <c r="D127" i="16"/>
  <c r="E127" i="17" s="1"/>
  <c r="D123" i="16"/>
  <c r="E123" i="17" s="1"/>
  <c r="D119" i="16"/>
  <c r="E119" i="17" s="1"/>
  <c r="D115" i="16"/>
  <c r="E115" i="17" s="1"/>
  <c r="D111" i="16"/>
  <c r="E111" i="17" s="1"/>
  <c r="D107" i="16"/>
  <c r="E107" i="17" s="1"/>
  <c r="D103" i="16"/>
  <c r="E103" i="17" s="1"/>
  <c r="D99" i="16"/>
  <c r="E99" i="17" s="1"/>
  <c r="D95" i="16"/>
  <c r="E95" i="17" s="1"/>
  <c r="D91" i="16"/>
  <c r="E91" i="17" s="1"/>
  <c r="D87" i="16"/>
  <c r="E87" i="17" s="1"/>
  <c r="D83" i="16"/>
  <c r="E83" i="17" s="1"/>
  <c r="D79" i="16"/>
  <c r="E79" i="17" s="1"/>
  <c r="D75" i="16"/>
  <c r="E75" i="17" s="1"/>
  <c r="D71" i="16"/>
  <c r="E71" i="17" s="1"/>
  <c r="D67" i="16"/>
  <c r="E67" i="17" s="1"/>
  <c r="C59" i="16"/>
  <c r="C59" i="17" s="1"/>
  <c r="A59" i="17"/>
  <c r="C51" i="16"/>
  <c r="C51" i="17" s="1"/>
  <c r="A51" i="17"/>
  <c r="A43" i="17"/>
  <c r="C82" i="24"/>
  <c r="C82" i="25" s="1"/>
  <c r="A82" i="25"/>
  <c r="C89" i="24"/>
  <c r="C89" i="25" s="1"/>
  <c r="A89" i="25"/>
  <c r="C83" i="24"/>
  <c r="C83" i="25" s="1"/>
  <c r="A83" i="25"/>
  <c r="C101" i="24"/>
  <c r="C101" i="25" s="1"/>
  <c r="A101" i="25"/>
  <c r="C58" i="24"/>
  <c r="C58" i="25" s="1"/>
  <c r="A58" i="25"/>
  <c r="C121" i="24"/>
  <c r="C121" i="25" s="1"/>
  <c r="A121" i="25"/>
  <c r="C44" i="24"/>
  <c r="C44" i="25" s="1"/>
  <c r="A44" i="25"/>
  <c r="C115" i="24"/>
  <c r="C115" i="25" s="1"/>
  <c r="A115" i="25"/>
  <c r="C63" i="24"/>
  <c r="C63" i="25" s="1"/>
  <c r="A63" i="25"/>
  <c r="D83" i="24"/>
  <c r="E83" i="25" s="1"/>
  <c r="C95" i="24"/>
  <c r="C95" i="25" s="1"/>
  <c r="A95" i="25"/>
  <c r="C150" i="24"/>
  <c r="C150" i="25" s="1"/>
  <c r="A150" i="25"/>
  <c r="D94" i="24"/>
  <c r="E94" i="25" s="1"/>
  <c r="D134" i="24"/>
  <c r="E134" i="25" s="1"/>
  <c r="D109" i="24"/>
  <c r="E109" i="25" s="1"/>
  <c r="D98" i="24"/>
  <c r="E98" i="25" s="1"/>
  <c r="D145" i="24"/>
  <c r="E145" i="25" s="1"/>
  <c r="D81" i="24"/>
  <c r="E81" i="25" s="1"/>
  <c r="D128" i="24"/>
  <c r="E128" i="25" s="1"/>
  <c r="D64" i="24"/>
  <c r="E64" i="25" s="1"/>
  <c r="D111" i="24"/>
  <c r="E111" i="25" s="1"/>
  <c r="D47" i="24"/>
  <c r="E47" i="25" s="1"/>
  <c r="D100" i="24"/>
  <c r="E100" i="25" s="1"/>
  <c r="D136" i="16"/>
  <c r="E136" i="17" s="1"/>
  <c r="D108" i="16"/>
  <c r="E108" i="17" s="1"/>
  <c r="D80" i="16"/>
  <c r="E80" i="17" s="1"/>
  <c r="C75" i="24"/>
  <c r="C75" i="25" s="1"/>
  <c r="A75" i="25"/>
  <c r="C50" i="24"/>
  <c r="C50" i="25" s="1"/>
  <c r="A50" i="25"/>
  <c r="C56" i="24"/>
  <c r="C56" i="25" s="1"/>
  <c r="A56" i="25"/>
  <c r="D114" i="24"/>
  <c r="E114" i="25" s="1"/>
  <c r="A146" i="17"/>
  <c r="C146" i="16"/>
  <c r="C146" i="17" s="1"/>
  <c r="A142" i="17"/>
  <c r="C142" i="16"/>
  <c r="C142" i="17" s="1"/>
  <c r="C138" i="16"/>
  <c r="C138" i="17" s="1"/>
  <c r="A138" i="17"/>
  <c r="C134" i="16"/>
  <c r="C134" i="17" s="1"/>
  <c r="A134" i="17"/>
  <c r="A130" i="17"/>
  <c r="C130" i="16"/>
  <c r="C130" i="17" s="1"/>
  <c r="C126" i="16"/>
  <c r="C126" i="17" s="1"/>
  <c r="A126" i="17"/>
  <c r="C122" i="16"/>
  <c r="C122" i="17" s="1"/>
  <c r="A122" i="17"/>
  <c r="C118" i="16"/>
  <c r="C118" i="17" s="1"/>
  <c r="A118" i="17"/>
  <c r="C114" i="16"/>
  <c r="C114" i="17" s="1"/>
  <c r="A114" i="17"/>
  <c r="C110" i="16"/>
  <c r="C110" i="17" s="1"/>
  <c r="A110" i="17"/>
  <c r="C106" i="16"/>
  <c r="C106" i="17" s="1"/>
  <c r="A106" i="17"/>
  <c r="A102" i="17"/>
  <c r="C102" i="16"/>
  <c r="C102" i="17" s="1"/>
  <c r="C98" i="16"/>
  <c r="C98" i="17" s="1"/>
  <c r="A98" i="17"/>
  <c r="A94" i="17"/>
  <c r="C94" i="16"/>
  <c r="C94" i="17" s="1"/>
  <c r="A90" i="17"/>
  <c r="C90" i="16"/>
  <c r="C90" i="17" s="1"/>
  <c r="C86" i="16"/>
  <c r="C86" i="17" s="1"/>
  <c r="A86" i="17"/>
  <c r="A82" i="17"/>
  <c r="C82" i="16"/>
  <c r="C82" i="17" s="1"/>
  <c r="C78" i="16"/>
  <c r="C78" i="17" s="1"/>
  <c r="A78" i="17"/>
  <c r="A74" i="17"/>
  <c r="C74" i="16"/>
  <c r="C74" i="17" s="1"/>
  <c r="A70" i="17"/>
  <c r="C70" i="16"/>
  <c r="C70" i="17" s="1"/>
  <c r="C66" i="16"/>
  <c r="C66" i="17" s="1"/>
  <c r="A66" i="17"/>
  <c r="C58" i="16"/>
  <c r="C58" i="17" s="1"/>
  <c r="A58" i="17"/>
  <c r="C50" i="16"/>
  <c r="C50" i="17" s="1"/>
  <c r="A50" i="17"/>
  <c r="A42" i="17"/>
  <c r="D66" i="16"/>
  <c r="E66" i="17" s="1"/>
  <c r="C81" i="24"/>
  <c r="C81" i="25" s="1"/>
  <c r="A81" i="25"/>
  <c r="C131" i="24"/>
  <c r="C131" i="25" s="1"/>
  <c r="A131" i="25"/>
  <c r="C146" i="24"/>
  <c r="C146" i="25" s="1"/>
  <c r="A146" i="25"/>
  <c r="C69" i="24"/>
  <c r="C69" i="25" s="1"/>
  <c r="A69" i="25"/>
  <c r="C76" i="24"/>
  <c r="C76" i="25" s="1"/>
  <c r="A76" i="25"/>
  <c r="C147" i="24"/>
  <c r="C147" i="25" s="1"/>
  <c r="A147" i="25"/>
  <c r="C96" i="24"/>
  <c r="C96" i="25" s="1"/>
  <c r="A96" i="25"/>
  <c r="C122" i="24"/>
  <c r="C122" i="25" s="1"/>
  <c r="A122" i="25"/>
  <c r="C45" i="24"/>
  <c r="C45" i="25" s="1"/>
  <c r="A45" i="25"/>
  <c r="C62" i="24"/>
  <c r="C62" i="25" s="1"/>
  <c r="A62" i="25"/>
  <c r="C108" i="24"/>
  <c r="C108" i="25" s="1"/>
  <c r="A108" i="25"/>
  <c r="C65" i="24"/>
  <c r="C65" i="25" s="1"/>
  <c r="A65" i="25"/>
  <c r="C102" i="24"/>
  <c r="C102" i="25" s="1"/>
  <c r="A102" i="25"/>
  <c r="C126" i="24"/>
  <c r="C126" i="25" s="1"/>
  <c r="A126" i="25"/>
  <c r="D61" i="24"/>
  <c r="E61" i="25" s="1"/>
  <c r="D149" i="24"/>
  <c r="E149" i="25" s="1"/>
  <c r="C142" i="24"/>
  <c r="C142" i="25" s="1"/>
  <c r="A142" i="25"/>
  <c r="C118" i="24"/>
  <c r="C118" i="25" s="1"/>
  <c r="A118" i="25"/>
  <c r="C143" i="24"/>
  <c r="C143" i="25" s="1"/>
  <c r="A143" i="25"/>
  <c r="D75" i="24"/>
  <c r="E75" i="25" s="1"/>
  <c r="D115" i="24"/>
  <c r="E115" i="25" s="1"/>
  <c r="D86" i="24"/>
  <c r="E86" i="25" s="1"/>
  <c r="D90" i="24"/>
  <c r="E90" i="25" s="1"/>
  <c r="D137" i="24"/>
  <c r="E137" i="25" s="1"/>
  <c r="D73" i="24"/>
  <c r="E73" i="25" s="1"/>
  <c r="D120" i="24"/>
  <c r="E120" i="25" s="1"/>
  <c r="D56" i="24"/>
  <c r="E56" i="25" s="1"/>
  <c r="D103" i="24"/>
  <c r="E103" i="25" s="1"/>
  <c r="D92" i="24"/>
  <c r="E92" i="25" s="1"/>
  <c r="D128" i="16"/>
  <c r="E128" i="17" s="1"/>
  <c r="D100" i="16"/>
  <c r="E100" i="17" s="1"/>
  <c r="D72" i="16"/>
  <c r="E72" i="17" s="1"/>
  <c r="C60" i="24"/>
  <c r="C60" i="25" s="1"/>
  <c r="A60" i="25"/>
  <c r="C119" i="24"/>
  <c r="C119" i="25" s="1"/>
  <c r="A119" i="25"/>
  <c r="D52" i="24"/>
  <c r="E52" i="25" s="1"/>
  <c r="D142" i="16"/>
  <c r="E142" i="17" s="1"/>
  <c r="D138" i="16"/>
  <c r="E138" i="17" s="1"/>
  <c r="D134" i="16"/>
  <c r="E134" i="17" s="1"/>
  <c r="D130" i="16"/>
  <c r="E130" i="17" s="1"/>
  <c r="D126" i="16"/>
  <c r="E126" i="17" s="1"/>
  <c r="D122" i="16"/>
  <c r="E122" i="17" s="1"/>
  <c r="D118" i="16"/>
  <c r="E118" i="17" s="1"/>
  <c r="D114" i="16"/>
  <c r="E114" i="17" s="1"/>
  <c r="D110" i="16"/>
  <c r="E110" i="17" s="1"/>
  <c r="D106" i="16"/>
  <c r="E106" i="17" s="1"/>
  <c r="D102" i="16"/>
  <c r="E102" i="17" s="1"/>
  <c r="D98" i="16"/>
  <c r="E98" i="17" s="1"/>
  <c r="D94" i="16"/>
  <c r="E94" i="17" s="1"/>
  <c r="D90" i="16"/>
  <c r="E90" i="17" s="1"/>
  <c r="D86" i="16"/>
  <c r="E86" i="17" s="1"/>
  <c r="D82" i="16"/>
  <c r="E82" i="17" s="1"/>
  <c r="D78" i="16"/>
  <c r="E78" i="17" s="1"/>
  <c r="D74" i="16"/>
  <c r="E74" i="17" s="1"/>
  <c r="D70" i="16"/>
  <c r="E70" i="17" s="1"/>
  <c r="C65" i="16"/>
  <c r="C65" i="17" s="1"/>
  <c r="A65" i="17"/>
  <c r="C57" i="16"/>
  <c r="C57" i="17" s="1"/>
  <c r="A57" i="17"/>
  <c r="C49" i="16"/>
  <c r="C49" i="17" s="1"/>
  <c r="A49" i="17"/>
  <c r="C145" i="24"/>
  <c r="C145" i="25" s="1"/>
  <c r="A145" i="25"/>
  <c r="C77" i="24"/>
  <c r="C77" i="25" s="1"/>
  <c r="A77" i="25"/>
  <c r="C64" i="24"/>
  <c r="C64" i="25" s="1"/>
  <c r="A64" i="25"/>
  <c r="C46" i="24"/>
  <c r="C46" i="25" s="1"/>
  <c r="A46" i="25"/>
  <c r="C133" i="24"/>
  <c r="C133" i="25" s="1"/>
  <c r="A133" i="25"/>
  <c r="C140" i="24"/>
  <c r="C140" i="25" s="1"/>
  <c r="A140" i="25"/>
  <c r="C97" i="24"/>
  <c r="C97" i="25" s="1"/>
  <c r="A97" i="25"/>
  <c r="C91" i="24"/>
  <c r="C91" i="25" s="1"/>
  <c r="A91" i="25"/>
  <c r="C109" i="24"/>
  <c r="C109" i="25" s="1"/>
  <c r="A109" i="25"/>
  <c r="C66" i="24"/>
  <c r="C66" i="25" s="1"/>
  <c r="A66" i="25"/>
  <c r="C129" i="24"/>
  <c r="C129" i="25" s="1"/>
  <c r="A129" i="25"/>
  <c r="C52" i="24"/>
  <c r="C52" i="25" s="1"/>
  <c r="A52" i="25"/>
  <c r="C127" i="24"/>
  <c r="C127" i="25" s="1"/>
  <c r="A127" i="25"/>
  <c r="C94" i="24"/>
  <c r="C94" i="25" s="1"/>
  <c r="A94" i="25"/>
  <c r="D107" i="24"/>
  <c r="E107" i="25" s="1"/>
  <c r="D142" i="24"/>
  <c r="E142" i="25" s="1"/>
  <c r="C111" i="24"/>
  <c r="C111" i="25" s="1"/>
  <c r="A111" i="25"/>
  <c r="D53" i="24"/>
  <c r="E53" i="25" s="1"/>
  <c r="D93" i="24"/>
  <c r="E93" i="25" s="1"/>
  <c r="D133" i="24"/>
  <c r="E133" i="25" s="1"/>
  <c r="C110" i="24"/>
  <c r="C110" i="25" s="1"/>
  <c r="A110" i="25"/>
  <c r="D67" i="24"/>
  <c r="E67" i="25" s="1"/>
  <c r="D146" i="24"/>
  <c r="E146" i="25" s="1"/>
  <c r="D82" i="24"/>
  <c r="E82" i="25" s="1"/>
  <c r="D129" i="24"/>
  <c r="E129" i="25" s="1"/>
  <c r="D65" i="24"/>
  <c r="E65" i="25" s="1"/>
  <c r="D112" i="24"/>
  <c r="E112" i="25" s="1"/>
  <c r="D48" i="24"/>
  <c r="E48" i="25" s="1"/>
  <c r="D95" i="24"/>
  <c r="E95" i="25" s="1"/>
  <c r="D148" i="24"/>
  <c r="E148" i="25" s="1"/>
  <c r="D84" i="24"/>
  <c r="E84" i="25" s="1"/>
  <c r="D144" i="16"/>
  <c r="E144" i="17" s="1"/>
  <c r="D120" i="16"/>
  <c r="E120" i="17" s="1"/>
  <c r="D92" i="16"/>
  <c r="E92" i="17" s="1"/>
  <c r="C61" i="16"/>
  <c r="C61" i="17" s="1"/>
  <c r="A61" i="17"/>
  <c r="C132" i="24"/>
  <c r="C132" i="25" s="1"/>
  <c r="A132" i="25"/>
  <c r="D125" i="24"/>
  <c r="E125" i="25" s="1"/>
  <c r="D54" i="24"/>
  <c r="E54" i="25" s="1"/>
  <c r="D50" i="24"/>
  <c r="E50" i="25" s="1"/>
  <c r="D127" i="24"/>
  <c r="E127" i="25" s="1"/>
  <c r="C145" i="16"/>
  <c r="C145" i="17" s="1"/>
  <c r="A145" i="17"/>
  <c r="C141" i="16"/>
  <c r="C141" i="17" s="1"/>
  <c r="A141" i="17"/>
  <c r="A137" i="17"/>
  <c r="C137" i="16"/>
  <c r="C137" i="17" s="1"/>
  <c r="C133" i="16"/>
  <c r="C133" i="17" s="1"/>
  <c r="A133" i="17"/>
  <c r="C129" i="16"/>
  <c r="C129" i="17" s="1"/>
  <c r="A129" i="17"/>
  <c r="A125" i="17"/>
  <c r="C125" i="16"/>
  <c r="C125" i="17" s="1"/>
  <c r="C121" i="16"/>
  <c r="C121" i="17" s="1"/>
  <c r="A121" i="17"/>
  <c r="C117" i="16"/>
  <c r="C117" i="17" s="1"/>
  <c r="A117" i="17"/>
  <c r="A113" i="17"/>
  <c r="C113" i="16"/>
  <c r="C113" i="17" s="1"/>
  <c r="A109" i="17"/>
  <c r="C109" i="16"/>
  <c r="C109" i="17" s="1"/>
  <c r="A105" i="17"/>
  <c r="C105" i="16"/>
  <c r="C105" i="17" s="1"/>
  <c r="C101" i="16"/>
  <c r="C101" i="17" s="1"/>
  <c r="A101" i="17"/>
  <c r="A97" i="17"/>
  <c r="C97" i="16"/>
  <c r="C97" i="17" s="1"/>
  <c r="A93" i="17"/>
  <c r="C93" i="16"/>
  <c r="C93" i="17" s="1"/>
  <c r="C89" i="16"/>
  <c r="C89" i="17" s="1"/>
  <c r="A89" i="17"/>
  <c r="A85" i="17"/>
  <c r="C85" i="16"/>
  <c r="C85" i="17" s="1"/>
  <c r="C81" i="16"/>
  <c r="C81" i="17" s="1"/>
  <c r="A81" i="17"/>
  <c r="C77" i="16"/>
  <c r="C77" i="17" s="1"/>
  <c r="A77" i="17"/>
  <c r="C73" i="16"/>
  <c r="C73" i="17" s="1"/>
  <c r="A73" i="17"/>
  <c r="C69" i="16"/>
  <c r="C69" i="17" s="1"/>
  <c r="A69" i="17"/>
  <c r="C64" i="16"/>
  <c r="C64" i="17" s="1"/>
  <c r="A64" i="17"/>
  <c r="C56" i="16"/>
  <c r="C56" i="17" s="1"/>
  <c r="A56" i="17"/>
  <c r="C48" i="16"/>
  <c r="C48" i="17" s="1"/>
  <c r="A48" i="17"/>
  <c r="C68" i="24"/>
  <c r="C68" i="25" s="1"/>
  <c r="A68" i="25"/>
  <c r="C72" i="24"/>
  <c r="C72" i="25" s="1"/>
  <c r="A72" i="25"/>
  <c r="C128" i="24"/>
  <c r="C128" i="25" s="1"/>
  <c r="A128" i="25"/>
  <c r="C59" i="24"/>
  <c r="C59" i="25" s="1"/>
  <c r="A59" i="25"/>
  <c r="C78" i="24"/>
  <c r="C78" i="25" s="1"/>
  <c r="A78" i="25"/>
  <c r="C98" i="24"/>
  <c r="C98" i="25" s="1"/>
  <c r="A98" i="25"/>
  <c r="C84" i="24"/>
  <c r="C84" i="25" s="1"/>
  <c r="A84" i="25"/>
  <c r="C104" i="24"/>
  <c r="C104" i="25" s="1"/>
  <c r="A104" i="25"/>
  <c r="C130" i="24"/>
  <c r="C130" i="25" s="1"/>
  <c r="A130" i="25"/>
  <c r="C53" i="24"/>
  <c r="C53" i="25" s="1"/>
  <c r="A53" i="25"/>
  <c r="C116" i="24"/>
  <c r="C116" i="25" s="1"/>
  <c r="A116" i="25"/>
  <c r="C47" i="24"/>
  <c r="C47" i="25" s="1"/>
  <c r="A47" i="25"/>
  <c r="D62" i="24"/>
  <c r="E62" i="25" s="1"/>
  <c r="D123" i="24"/>
  <c r="E123" i="25" s="1"/>
  <c r="C86" i="24"/>
  <c r="C86" i="25" s="1"/>
  <c r="A86" i="25"/>
  <c r="C79" i="24"/>
  <c r="C79" i="25" s="1"/>
  <c r="A79" i="25"/>
  <c r="D70" i="24"/>
  <c r="E70" i="25" s="1"/>
  <c r="D110" i="24"/>
  <c r="E110" i="25" s="1"/>
  <c r="C135" i="24"/>
  <c r="C135" i="25" s="1"/>
  <c r="A135" i="25"/>
  <c r="D45" i="24"/>
  <c r="E45" i="25" s="1"/>
  <c r="D138" i="24"/>
  <c r="E138" i="25" s="1"/>
  <c r="D74" i="24"/>
  <c r="E74" i="25" s="1"/>
  <c r="D121" i="24"/>
  <c r="E121" i="25" s="1"/>
  <c r="D57" i="24"/>
  <c r="E57" i="25" s="1"/>
  <c r="D104" i="24"/>
  <c r="E104" i="25" s="1"/>
  <c r="D151" i="24"/>
  <c r="E151" i="25" s="1"/>
  <c r="D87" i="24"/>
  <c r="E87" i="25" s="1"/>
  <c r="D140" i="24"/>
  <c r="E140" i="25" s="1"/>
  <c r="D76" i="24"/>
  <c r="E76" i="25" s="1"/>
  <c r="D132" i="16"/>
  <c r="E132" i="17" s="1"/>
  <c r="D104" i="16"/>
  <c r="E104" i="17" s="1"/>
  <c r="D76" i="16"/>
  <c r="E76" i="17" s="1"/>
  <c r="C137" i="24"/>
  <c r="C137" i="25" s="1"/>
  <c r="A137" i="25"/>
  <c r="C93" i="24"/>
  <c r="C93" i="25" s="1"/>
  <c r="A93" i="25"/>
  <c r="C125" i="24"/>
  <c r="C125" i="25" s="1"/>
  <c r="A125" i="25"/>
  <c r="D59" i="24"/>
  <c r="E59" i="25" s="1"/>
  <c r="D46" i="24"/>
  <c r="E46" i="25" s="1"/>
  <c r="D97" i="24"/>
  <c r="E97" i="25" s="1"/>
  <c r="D63" i="24"/>
  <c r="E63" i="25" s="1"/>
  <c r="D145" i="16"/>
  <c r="E145" i="17" s="1"/>
  <c r="D141" i="16"/>
  <c r="E141" i="17" s="1"/>
  <c r="D137" i="16"/>
  <c r="E137" i="17" s="1"/>
  <c r="D133" i="16"/>
  <c r="E133" i="17" s="1"/>
  <c r="D129" i="16"/>
  <c r="E129" i="17" s="1"/>
  <c r="D125" i="16"/>
  <c r="E125" i="17" s="1"/>
  <c r="D121" i="16"/>
  <c r="E121" i="17" s="1"/>
  <c r="D117" i="16"/>
  <c r="E117" i="17" s="1"/>
  <c r="D113" i="16"/>
  <c r="E113" i="17" s="1"/>
  <c r="D109" i="16"/>
  <c r="E109" i="17" s="1"/>
  <c r="D105" i="16"/>
  <c r="E105" i="17" s="1"/>
  <c r="D101" i="16"/>
  <c r="E101" i="17" s="1"/>
  <c r="D97" i="16"/>
  <c r="E97" i="17" s="1"/>
  <c r="D93" i="16"/>
  <c r="E93" i="17" s="1"/>
  <c r="D89" i="16"/>
  <c r="E89" i="17" s="1"/>
  <c r="D85" i="16"/>
  <c r="E85" i="17" s="1"/>
  <c r="D81" i="16"/>
  <c r="E81" i="17" s="1"/>
  <c r="D77" i="16"/>
  <c r="E77" i="17" s="1"/>
  <c r="D73" i="16"/>
  <c r="E73" i="17" s="1"/>
  <c r="D69" i="16"/>
  <c r="E69" i="17" s="1"/>
  <c r="C63" i="16"/>
  <c r="C63" i="17" s="1"/>
  <c r="A63" i="17"/>
  <c r="C55" i="16"/>
  <c r="C55" i="17" s="1"/>
  <c r="A55" i="17"/>
  <c r="C47" i="16"/>
  <c r="C47" i="17" s="1"/>
  <c r="A47" i="17"/>
  <c r="C70" i="24"/>
  <c r="C70" i="25" s="1"/>
  <c r="A70" i="25"/>
  <c r="C123" i="24"/>
  <c r="C123" i="25" s="1"/>
  <c r="A123" i="25"/>
  <c r="C85" i="24"/>
  <c r="C85" i="25" s="1"/>
  <c r="A85" i="25"/>
  <c r="A42" i="25"/>
  <c r="C148" i="24"/>
  <c r="C148" i="25" s="1"/>
  <c r="A148" i="25"/>
  <c r="C105" i="24"/>
  <c r="C105" i="25" s="1"/>
  <c r="A105" i="25"/>
  <c r="C99" i="24"/>
  <c r="C99" i="25" s="1"/>
  <c r="A99" i="25"/>
  <c r="C48" i="24"/>
  <c r="C48" i="25" s="1"/>
  <c r="A48" i="25"/>
  <c r="C117" i="24"/>
  <c r="C117" i="25" s="1"/>
  <c r="A117" i="25"/>
  <c r="C74" i="24"/>
  <c r="C74" i="25" s="1"/>
  <c r="A74" i="25"/>
  <c r="C71" i="24"/>
  <c r="C71" i="25" s="1"/>
  <c r="A71" i="25"/>
  <c r="D101" i="24"/>
  <c r="E101" i="25" s="1"/>
  <c r="D141" i="24"/>
  <c r="E141" i="25" s="1"/>
  <c r="D118" i="24"/>
  <c r="E118" i="25" s="1"/>
  <c r="D51" i="24"/>
  <c r="E51" i="25" s="1"/>
  <c r="D91" i="24"/>
  <c r="E91" i="25" s="1"/>
  <c r="C134" i="24"/>
  <c r="C134" i="25" s="1"/>
  <c r="A134" i="25"/>
  <c r="D130" i="24"/>
  <c r="E130" i="25" s="1"/>
  <c r="D66" i="24"/>
  <c r="E66" i="25" s="1"/>
  <c r="D113" i="24"/>
  <c r="E113" i="25" s="1"/>
  <c r="D49" i="24"/>
  <c r="E49" i="25" s="1"/>
  <c r="D96" i="24"/>
  <c r="E96" i="25" s="1"/>
  <c r="D143" i="24"/>
  <c r="E143" i="25" s="1"/>
  <c r="D79" i="24"/>
  <c r="E79" i="25" s="1"/>
  <c r="D132" i="24"/>
  <c r="E132" i="25" s="1"/>
  <c r="D68" i="24"/>
  <c r="E68" i="25" s="1"/>
  <c r="C58" i="2"/>
  <c r="C58" i="8" s="1"/>
  <c r="C109" i="2"/>
  <c r="C109" i="8" s="1"/>
  <c r="C55" i="2"/>
  <c r="C55" i="8" s="1"/>
  <c r="C101" i="2"/>
  <c r="C101" i="8" s="1"/>
  <c r="D43" i="16"/>
  <c r="E43" i="17" s="1"/>
  <c r="D48" i="16"/>
  <c r="E48" i="17" s="1"/>
  <c r="D64" i="16"/>
  <c r="E64" i="17" s="1"/>
  <c r="D56" i="16"/>
  <c r="E56" i="17" s="1"/>
  <c r="D58" i="16"/>
  <c r="E58" i="17" s="1"/>
  <c r="C129" i="2"/>
  <c r="C129" i="8" s="1"/>
  <c r="C65" i="2"/>
  <c r="C65" i="8" s="1"/>
  <c r="C95" i="2"/>
  <c r="C95" i="8" s="1"/>
  <c r="C146" i="2"/>
  <c r="C146" i="8" s="1"/>
  <c r="D60" i="16"/>
  <c r="E60" i="17" s="1"/>
  <c r="A150" i="16"/>
  <c r="B149" i="16"/>
  <c r="A149" i="17" s="1"/>
  <c r="C148" i="16"/>
  <c r="C148" i="17" s="1"/>
  <c r="C111" i="2"/>
  <c r="C111" i="8" s="1"/>
  <c r="C54" i="2"/>
  <c r="C54" i="8" s="1"/>
  <c r="C117" i="2"/>
  <c r="C117" i="8" s="1"/>
  <c r="C153" i="2"/>
  <c r="C153" i="8" s="1"/>
  <c r="C89" i="2"/>
  <c r="C89" i="8" s="1"/>
  <c r="C119" i="2"/>
  <c r="C119" i="8" s="1"/>
  <c r="C53" i="2"/>
  <c r="C53" i="8" s="1"/>
  <c r="C106" i="2"/>
  <c r="C106" i="8" s="1"/>
  <c r="C47" i="2"/>
  <c r="C47" i="8" s="1"/>
  <c r="C145" i="2"/>
  <c r="C145" i="8" s="1"/>
  <c r="C81" i="2"/>
  <c r="C81" i="8" s="1"/>
  <c r="C98" i="2"/>
  <c r="C98" i="8" s="1"/>
  <c r="C45" i="2"/>
  <c r="C45" i="8" s="1"/>
  <c r="C125" i="2"/>
  <c r="C125" i="8" s="1"/>
  <c r="C97" i="2"/>
  <c r="C97" i="8" s="1"/>
  <c r="C114" i="2"/>
  <c r="C114" i="8" s="1"/>
  <c r="C61" i="2"/>
  <c r="C61" i="8" s="1"/>
  <c r="C127" i="2"/>
  <c r="C127" i="8" s="1"/>
  <c r="C50" i="2"/>
  <c r="C50" i="8" s="1"/>
  <c r="C63" i="2"/>
  <c r="C63" i="8" s="1"/>
  <c r="C48" i="2"/>
  <c r="C48" i="8" s="1"/>
  <c r="C133" i="2"/>
  <c r="C133" i="8" s="1"/>
  <c r="C105" i="2"/>
  <c r="C105" i="8" s="1"/>
  <c r="C69" i="2"/>
  <c r="C69" i="8" s="1"/>
  <c r="C135" i="2"/>
  <c r="C135" i="8" s="1"/>
  <c r="C122" i="2"/>
  <c r="C122" i="8" s="1"/>
  <c r="C71" i="2"/>
  <c r="C71" i="8" s="1"/>
  <c r="C137" i="2"/>
  <c r="C137" i="8" s="1"/>
  <c r="C73" i="2"/>
  <c r="C73" i="8" s="1"/>
  <c r="C90" i="2"/>
  <c r="C90" i="8" s="1"/>
  <c r="C62" i="2"/>
  <c r="C62" i="8" s="1"/>
  <c r="C151" i="2"/>
  <c r="C151" i="8" s="1"/>
  <c r="C85" i="2"/>
  <c r="C85" i="8" s="1"/>
  <c r="C138" i="2"/>
  <c r="C138" i="8" s="1"/>
  <c r="C147" i="2"/>
  <c r="C147" i="8" s="1"/>
  <c r="C83" i="2"/>
  <c r="C83" i="8" s="1"/>
  <c r="C112" i="2"/>
  <c r="C112" i="8" s="1"/>
  <c r="C142" i="2"/>
  <c r="C142" i="8" s="1"/>
  <c r="C140" i="2"/>
  <c r="C140" i="8" s="1"/>
  <c r="C76" i="2"/>
  <c r="C76" i="8" s="1"/>
  <c r="C121" i="2"/>
  <c r="C121" i="8" s="1"/>
  <c r="C57" i="2"/>
  <c r="C57" i="8" s="1"/>
  <c r="C87" i="2"/>
  <c r="C87" i="8" s="1"/>
  <c r="C74" i="2"/>
  <c r="C74" i="8" s="1"/>
  <c r="C46" i="2"/>
  <c r="C46" i="8" s="1"/>
  <c r="C149" i="2"/>
  <c r="C149" i="8" s="1"/>
  <c r="C64" i="2"/>
  <c r="C64" i="8" s="1"/>
  <c r="C155" i="2"/>
  <c r="C155" i="8" s="1"/>
  <c r="C91" i="2"/>
  <c r="C91" i="8" s="1"/>
  <c r="C120" i="2"/>
  <c r="C120" i="8" s="1"/>
  <c r="C56" i="2"/>
  <c r="C56" i="8" s="1"/>
  <c r="C150" i="2"/>
  <c r="C150" i="8" s="1"/>
  <c r="C86" i="2"/>
  <c r="C86" i="8" s="1"/>
  <c r="C148" i="2"/>
  <c r="C148" i="8" s="1"/>
  <c r="C84" i="2"/>
  <c r="C84" i="8" s="1"/>
  <c r="C78" i="2"/>
  <c r="C78" i="8" s="1"/>
  <c r="C130" i="2"/>
  <c r="C130" i="8" s="1"/>
  <c r="C139" i="2"/>
  <c r="C139" i="8" s="1"/>
  <c r="C75" i="2"/>
  <c r="C75" i="8" s="1"/>
  <c r="C104" i="2"/>
  <c r="C104" i="8" s="1"/>
  <c r="C134" i="2"/>
  <c r="C134" i="8" s="1"/>
  <c r="C70" i="2"/>
  <c r="C70" i="8" s="1"/>
  <c r="C132" i="2"/>
  <c r="C132" i="8" s="1"/>
  <c r="C68" i="2"/>
  <c r="C68" i="8" s="1"/>
  <c r="C131" i="2"/>
  <c r="C131" i="8" s="1"/>
  <c r="C67" i="2"/>
  <c r="C67" i="8" s="1"/>
  <c r="C113" i="2"/>
  <c r="C113" i="8" s="1"/>
  <c r="C49" i="2"/>
  <c r="C49" i="8" s="1"/>
  <c r="C96" i="2"/>
  <c r="C96" i="8" s="1"/>
  <c r="C126" i="2"/>
  <c r="C126" i="8" s="1"/>
  <c r="C124" i="2"/>
  <c r="C124" i="8" s="1"/>
  <c r="C60" i="2"/>
  <c r="C60" i="8" s="1"/>
  <c r="C157" i="2"/>
  <c r="C157" i="8" s="1"/>
  <c r="C123" i="2"/>
  <c r="C123" i="8" s="1"/>
  <c r="C59" i="2"/>
  <c r="C59" i="8" s="1"/>
  <c r="C152" i="2"/>
  <c r="C152" i="8" s="1"/>
  <c r="C88" i="2"/>
  <c r="C88" i="8" s="1"/>
  <c r="C118" i="2"/>
  <c r="C118" i="8" s="1"/>
  <c r="C116" i="2"/>
  <c r="C116" i="8" s="1"/>
  <c r="C52" i="2"/>
  <c r="C52" i="8" s="1"/>
  <c r="C154" i="2"/>
  <c r="C154" i="8" s="1"/>
  <c r="C66" i="2"/>
  <c r="C66" i="8" s="1"/>
  <c r="C115" i="2"/>
  <c r="C115" i="8" s="1"/>
  <c r="C51" i="2"/>
  <c r="C51" i="8" s="1"/>
  <c r="C144" i="2"/>
  <c r="C144" i="8" s="1"/>
  <c r="C80" i="2"/>
  <c r="C80" i="8" s="1"/>
  <c r="C110" i="2"/>
  <c r="C110" i="8" s="1"/>
  <c r="C108" i="2"/>
  <c r="C108" i="8" s="1"/>
  <c r="C44" i="2"/>
  <c r="C44" i="8" s="1"/>
  <c r="C143" i="2"/>
  <c r="C143" i="8" s="1"/>
  <c r="C141" i="2"/>
  <c r="C141" i="8" s="1"/>
  <c r="C107" i="2"/>
  <c r="C107" i="8" s="1"/>
  <c r="C43" i="2"/>
  <c r="C43" i="8" s="1"/>
  <c r="C136" i="2"/>
  <c r="C136" i="8" s="1"/>
  <c r="C72" i="2"/>
  <c r="C72" i="8" s="1"/>
  <c r="C102" i="2"/>
  <c r="C102" i="8" s="1"/>
  <c r="C100" i="2"/>
  <c r="C100" i="8" s="1"/>
  <c r="C99" i="2"/>
  <c r="C99" i="8" s="1"/>
  <c r="C128" i="2"/>
  <c r="C128" i="8" s="1"/>
  <c r="C158" i="2"/>
  <c r="C158" i="8" s="1"/>
  <c r="C94" i="2"/>
  <c r="C94" i="8" s="1"/>
  <c r="C156" i="2"/>
  <c r="C156" i="8" s="1"/>
  <c r="C92" i="2"/>
  <c r="C92" i="8" s="1"/>
  <c r="A159" i="8" l="1"/>
  <c r="C151" i="25"/>
  <c r="A153" i="24"/>
  <c r="I152" i="25"/>
  <c r="G152" i="25" s="1"/>
  <c r="B152" i="25"/>
  <c r="E152" i="24"/>
  <c r="D152" i="24" s="1"/>
  <c r="E152" i="25" s="1"/>
  <c r="B152" i="24"/>
  <c r="C152" i="24" s="1"/>
  <c r="F76" i="16"/>
  <c r="F103" i="24"/>
  <c r="F100" i="16"/>
  <c r="C147" i="17"/>
  <c r="F131" i="16"/>
  <c r="F92" i="16"/>
  <c r="F114" i="24"/>
  <c r="F140" i="16"/>
  <c r="F108" i="16"/>
  <c r="F87" i="16"/>
  <c r="I160" i="8"/>
  <c r="G160" i="8" s="1"/>
  <c r="B160" i="8"/>
  <c r="A161" i="2"/>
  <c r="F160" i="2"/>
  <c r="E160" i="2"/>
  <c r="D160" i="2" s="1"/>
  <c r="E160" i="8" s="1"/>
  <c r="B160" i="2"/>
  <c r="C160" i="2" s="1"/>
  <c r="C160" i="8" s="1"/>
  <c r="F97" i="24"/>
  <c r="F127" i="16"/>
  <c r="F95" i="24"/>
  <c r="F101" i="24"/>
  <c r="F43" i="24"/>
  <c r="F68" i="16"/>
  <c r="E150" i="16"/>
  <c r="D150" i="16" s="1"/>
  <c r="E150" i="17" s="1"/>
  <c r="I150" i="17"/>
  <c r="G150" i="17" s="1"/>
  <c r="C26" i="47" s="1"/>
  <c r="D26" i="47" s="1"/>
  <c r="B150" i="17"/>
  <c r="F46" i="24"/>
  <c r="F110" i="24"/>
  <c r="F140" i="24"/>
  <c r="F103" i="16"/>
  <c r="F93" i="16"/>
  <c r="F141" i="24"/>
  <c r="F121" i="24"/>
  <c r="F86" i="16"/>
  <c r="F63" i="24"/>
  <c r="F64" i="16"/>
  <c r="F68" i="24"/>
  <c r="F53" i="16"/>
  <c r="F75" i="16"/>
  <c r="F107" i="24"/>
  <c r="F132" i="16"/>
  <c r="F87" i="24"/>
  <c r="F54" i="24"/>
  <c r="F144" i="24"/>
  <c r="F60" i="16"/>
  <c r="F143" i="24"/>
  <c r="F82" i="16"/>
  <c r="F84" i="16"/>
  <c r="F92" i="24"/>
  <c r="F143" i="16"/>
  <c r="F110" i="16"/>
  <c r="F106" i="24"/>
  <c r="F129" i="16"/>
  <c r="F115" i="24"/>
  <c r="F49" i="24"/>
  <c r="F91" i="24"/>
  <c r="F70" i="16"/>
  <c r="F73" i="24"/>
  <c r="F102" i="16"/>
  <c r="F149" i="24"/>
  <c r="F85" i="16"/>
  <c r="F138" i="24"/>
  <c r="F106" i="16"/>
  <c r="F100" i="24"/>
  <c r="F91" i="16"/>
  <c r="F113" i="16"/>
  <c r="F50" i="24"/>
  <c r="F133" i="24"/>
  <c r="F96" i="24"/>
  <c r="F142" i="24"/>
  <c r="F123" i="16"/>
  <c r="F130" i="24"/>
  <c r="F145" i="16"/>
  <c r="F59" i="24"/>
  <c r="F79" i="24"/>
  <c r="F97" i="16"/>
  <c r="F81" i="16"/>
  <c r="F67" i="24"/>
  <c r="F107" i="16"/>
  <c r="F90" i="16"/>
  <c r="F89" i="16"/>
  <c r="F104" i="16"/>
  <c r="F74" i="16"/>
  <c r="F138" i="16"/>
  <c r="F71" i="16"/>
  <c r="F73" i="16"/>
  <c r="F137" i="16"/>
  <c r="F62" i="24"/>
  <c r="F127" i="24"/>
  <c r="F122" i="16"/>
  <c r="F90" i="24"/>
  <c r="F136" i="16"/>
  <c r="F119" i="16"/>
  <c r="F135" i="16"/>
  <c r="F82" i="24"/>
  <c r="F130" i="16"/>
  <c r="F57" i="24"/>
  <c r="F132" i="24"/>
  <c r="F105" i="16"/>
  <c r="F146" i="16"/>
  <c r="F120" i="16"/>
  <c r="F139" i="16"/>
  <c r="F124" i="16"/>
  <c r="F142" i="16"/>
  <c r="F77" i="16"/>
  <c r="F76" i="24"/>
  <c r="F79" i="16"/>
  <c r="F95" i="16"/>
  <c r="F111" i="16"/>
  <c r="F80" i="24"/>
  <c r="F118" i="24"/>
  <c r="F75" i="24"/>
  <c r="F51" i="24"/>
  <c r="F94" i="16"/>
  <c r="F72" i="16"/>
  <c r="F83" i="16"/>
  <c r="F99" i="16"/>
  <c r="F136" i="24"/>
  <c r="F121" i="16"/>
  <c r="F141" i="16"/>
  <c r="F129" i="24"/>
  <c r="F134" i="16"/>
  <c r="F118" i="16"/>
  <c r="F109" i="16"/>
  <c r="F123" i="24"/>
  <c r="F126" i="16"/>
  <c r="F128" i="16"/>
  <c r="F78" i="16"/>
  <c r="F137" i="24"/>
  <c r="F86" i="24"/>
  <c r="F55" i="24"/>
  <c r="F113" i="24"/>
  <c r="F56" i="24"/>
  <c r="F67" i="16"/>
  <c r="F115" i="16"/>
  <c r="F105" i="24"/>
  <c r="F96" i="16"/>
  <c r="F125" i="16"/>
  <c r="F144" i="16"/>
  <c r="F65" i="24"/>
  <c r="F146" i="24"/>
  <c r="F150" i="24"/>
  <c r="F45" i="24"/>
  <c r="F48" i="24"/>
  <c r="F53" i="24"/>
  <c r="F80" i="16"/>
  <c r="F81" i="24"/>
  <c r="F134" i="24"/>
  <c r="F124" i="24"/>
  <c r="F104" i="24"/>
  <c r="F148" i="24"/>
  <c r="F98" i="16"/>
  <c r="F114" i="16"/>
  <c r="F61" i="24"/>
  <c r="F44" i="24"/>
  <c r="F119" i="24"/>
  <c r="F88" i="24"/>
  <c r="F112" i="24"/>
  <c r="F52" i="24"/>
  <c r="F120" i="24"/>
  <c r="F64" i="24"/>
  <c r="F109" i="24"/>
  <c r="F94" i="24"/>
  <c r="F147" i="24"/>
  <c r="F116" i="24"/>
  <c r="F78" i="24"/>
  <c r="F74" i="24"/>
  <c r="F145" i="24"/>
  <c r="F89" i="24"/>
  <c r="F71" i="24"/>
  <c r="F58" i="24"/>
  <c r="F69" i="24"/>
  <c r="F99" i="24"/>
  <c r="F88" i="16"/>
  <c r="F85" i="24"/>
  <c r="F69" i="16"/>
  <c r="F101" i="16"/>
  <c r="F117" i="16"/>
  <c r="F133" i="16"/>
  <c r="F47" i="24"/>
  <c r="F108" i="24"/>
  <c r="F126" i="24"/>
  <c r="F66" i="24"/>
  <c r="F128" i="24"/>
  <c r="F83" i="24"/>
  <c r="F112" i="16"/>
  <c r="F131" i="24"/>
  <c r="F117" i="24"/>
  <c r="F60" i="24"/>
  <c r="F122" i="24"/>
  <c r="F77" i="24"/>
  <c r="F139" i="24"/>
  <c r="F116" i="16"/>
  <c r="F70" i="24"/>
  <c r="F125" i="24"/>
  <c r="F84" i="24"/>
  <c r="F93" i="24"/>
  <c r="F66" i="16"/>
  <c r="F111" i="24"/>
  <c r="F98" i="24"/>
  <c r="F72" i="24"/>
  <c r="F102" i="24"/>
  <c r="F135" i="24"/>
  <c r="F43" i="16"/>
  <c r="F56" i="16"/>
  <c r="F58" i="16"/>
  <c r="F48" i="16"/>
  <c r="D53" i="16"/>
  <c r="E53" i="17" s="1"/>
  <c r="D42" i="16"/>
  <c r="E42" i="17" s="1"/>
  <c r="A151" i="16"/>
  <c r="B150" i="16"/>
  <c r="A150" i="17" s="1"/>
  <c r="D54" i="16"/>
  <c r="E54" i="17" s="1"/>
  <c r="F54" i="16"/>
  <c r="D46" i="16"/>
  <c r="E46" i="17" s="1"/>
  <c r="F46" i="16"/>
  <c r="F44" i="16"/>
  <c r="D44" i="16"/>
  <c r="E44" i="17" s="1"/>
  <c r="D50" i="16"/>
  <c r="E50" i="17" s="1"/>
  <c r="F50" i="16"/>
  <c r="F148" i="16"/>
  <c r="D51" i="16"/>
  <c r="E51" i="17" s="1"/>
  <c r="F51" i="16"/>
  <c r="D61" i="16"/>
  <c r="E61" i="17" s="1"/>
  <c r="F61" i="16"/>
  <c r="D47" i="16"/>
  <c r="E47" i="17" s="1"/>
  <c r="F47" i="16"/>
  <c r="D62" i="16"/>
  <c r="E62" i="17" s="1"/>
  <c r="F62" i="16"/>
  <c r="F52" i="16"/>
  <c r="D52" i="16"/>
  <c r="E52" i="17" s="1"/>
  <c r="D63" i="16"/>
  <c r="E63" i="17" s="1"/>
  <c r="F63" i="16"/>
  <c r="D45" i="16"/>
  <c r="E45" i="17" s="1"/>
  <c r="F45" i="16"/>
  <c r="F65" i="16"/>
  <c r="D65" i="16"/>
  <c r="E65" i="17" s="1"/>
  <c r="D49" i="16"/>
  <c r="E49" i="17" s="1"/>
  <c r="F49" i="16"/>
  <c r="C149" i="16"/>
  <c r="C149" i="17" s="1"/>
  <c r="F59" i="16"/>
  <c r="D59" i="16"/>
  <c r="E59" i="17" s="1"/>
  <c r="D55" i="16"/>
  <c r="E55" i="17" s="1"/>
  <c r="F55" i="16"/>
  <c r="D57" i="16"/>
  <c r="E57" i="17" s="1"/>
  <c r="F57" i="16"/>
  <c r="B26" i="47" l="1"/>
  <c r="P26" i="42"/>
  <c r="Q26" i="42" s="1"/>
  <c r="O26" i="42" s="1"/>
  <c r="A160" i="8"/>
  <c r="A152" i="25"/>
  <c r="F152" i="24"/>
  <c r="C152" i="25"/>
  <c r="A154" i="24"/>
  <c r="I153" i="25"/>
  <c r="G153" i="25" s="1"/>
  <c r="B153" i="25"/>
  <c r="B153" i="24"/>
  <c r="C153" i="24" s="1"/>
  <c r="E153" i="24"/>
  <c r="D153" i="24" s="1"/>
  <c r="E153" i="25" s="1"/>
  <c r="I161" i="8"/>
  <c r="G161" i="8" s="1"/>
  <c r="B161" i="8"/>
  <c r="A162" i="2"/>
  <c r="B161" i="2"/>
  <c r="C161" i="2" s="1"/>
  <c r="C161" i="8" s="1"/>
  <c r="F161" i="2"/>
  <c r="E161" i="2"/>
  <c r="D161" i="2" s="1"/>
  <c r="E161" i="8" s="1"/>
  <c r="E151" i="16"/>
  <c r="D151" i="16" s="1"/>
  <c r="E151" i="17" s="1"/>
  <c r="I151" i="17"/>
  <c r="G151" i="17" s="1"/>
  <c r="B151" i="17"/>
  <c r="F149" i="16"/>
  <c r="C150" i="16"/>
  <c r="C150" i="17" s="1"/>
  <c r="A152" i="16"/>
  <c r="B151" i="16"/>
  <c r="C151" i="16" s="1"/>
  <c r="C151" i="17" s="1"/>
  <c r="F153" i="24" l="1"/>
  <c r="C153" i="25"/>
  <c r="A153" i="25"/>
  <c r="A151" i="17"/>
  <c r="A161" i="8"/>
  <c r="A155" i="24"/>
  <c r="B154" i="25"/>
  <c r="I154" i="25"/>
  <c r="G154" i="25" s="1"/>
  <c r="E154" i="24"/>
  <c r="B154" i="24"/>
  <c r="C154" i="24" s="1"/>
  <c r="C154" i="25" s="1"/>
  <c r="I162" i="8"/>
  <c r="G162" i="8" s="1"/>
  <c r="B162" i="8"/>
  <c r="A163" i="2"/>
  <c r="E162" i="2"/>
  <c r="D162" i="2" s="1"/>
  <c r="E162" i="8" s="1"/>
  <c r="F162" i="2"/>
  <c r="B162" i="2"/>
  <c r="C162" i="2" s="1"/>
  <c r="C162" i="8" s="1"/>
  <c r="F151" i="16"/>
  <c r="E152" i="16"/>
  <c r="D152" i="16" s="1"/>
  <c r="E152" i="17" s="1"/>
  <c r="I152" i="17"/>
  <c r="G152" i="17" s="1"/>
  <c r="B152" i="17"/>
  <c r="F150" i="16"/>
  <c r="A153" i="16"/>
  <c r="B152" i="16"/>
  <c r="C152" i="16" s="1"/>
  <c r="F152" i="16" l="1"/>
  <c r="A162" i="8"/>
  <c r="F154" i="24"/>
  <c r="A154" i="25"/>
  <c r="C152" i="17"/>
  <c r="A152" i="17"/>
  <c r="D154" i="24"/>
  <c r="E154" i="25" s="1"/>
  <c r="A156" i="24"/>
  <c r="I155" i="25"/>
  <c r="G155" i="25" s="1"/>
  <c r="B155" i="25"/>
  <c r="E155" i="24"/>
  <c r="D155" i="24" s="1"/>
  <c r="E155" i="25" s="1"/>
  <c r="B155" i="24"/>
  <c r="C155" i="24" s="1"/>
  <c r="I163" i="8"/>
  <c r="G163" i="8" s="1"/>
  <c r="B163" i="8"/>
  <c r="A164" i="2"/>
  <c r="E163" i="2"/>
  <c r="D163" i="2" s="1"/>
  <c r="E163" i="8" s="1"/>
  <c r="B163" i="2"/>
  <c r="C163" i="2" s="1"/>
  <c r="C163" i="8" s="1"/>
  <c r="F163" i="2"/>
  <c r="E153" i="16"/>
  <c r="D153" i="16" s="1"/>
  <c r="E153" i="17" s="1"/>
  <c r="I153" i="17"/>
  <c r="G153" i="17" s="1"/>
  <c r="B153" i="17"/>
  <c r="A154" i="16"/>
  <c r="B153" i="16"/>
  <c r="C153" i="16" s="1"/>
  <c r="C153" i="17" s="1"/>
  <c r="A163" i="8" l="1"/>
  <c r="F155" i="24"/>
  <c r="A155" i="25"/>
  <c r="A153" i="17"/>
  <c r="C155" i="25"/>
  <c r="A157" i="24"/>
  <c r="I156" i="25"/>
  <c r="G156" i="25" s="1"/>
  <c r="B156" i="25"/>
  <c r="B156" i="24"/>
  <c r="C156" i="24" s="1"/>
  <c r="E156" i="24"/>
  <c r="D156" i="24" s="1"/>
  <c r="E156" i="25" s="1"/>
  <c r="B164" i="8"/>
  <c r="I164" i="8"/>
  <c r="G164" i="8" s="1"/>
  <c r="B28" i="46" s="1"/>
  <c r="D28" i="46" s="1"/>
  <c r="A165" i="2"/>
  <c r="E164" i="2"/>
  <c r="D164" i="2" s="1"/>
  <c r="E164" i="8" s="1"/>
  <c r="F164" i="2"/>
  <c r="B164" i="2"/>
  <c r="C164" i="2" s="1"/>
  <c r="C164" i="8" s="1"/>
  <c r="E154" i="16"/>
  <c r="D154" i="16" s="1"/>
  <c r="E154" i="17" s="1"/>
  <c r="I154" i="17"/>
  <c r="G154" i="17" s="1"/>
  <c r="B154" i="17"/>
  <c r="F153" i="16"/>
  <c r="A155" i="16"/>
  <c r="B154" i="16"/>
  <c r="C154" i="16" s="1"/>
  <c r="C154" i="17" s="1"/>
  <c r="A28" i="46" l="1"/>
  <c r="B28" i="42"/>
  <c r="C28" i="42" s="1"/>
  <c r="A28" i="42" s="1"/>
  <c r="F156" i="24"/>
  <c r="C156" i="25"/>
  <c r="A156" i="25"/>
  <c r="A154" i="17"/>
  <c r="A164" i="8"/>
  <c r="A158" i="24"/>
  <c r="I157" i="25"/>
  <c r="G157" i="25" s="1"/>
  <c r="C27" i="48" s="1"/>
  <c r="D27" i="48" s="1"/>
  <c r="B157" i="25"/>
  <c r="B157" i="24"/>
  <c r="C157" i="24" s="1"/>
  <c r="E157" i="24"/>
  <c r="D157" i="24" s="1"/>
  <c r="E157" i="25" s="1"/>
  <c r="I165" i="8"/>
  <c r="G165" i="8" s="1"/>
  <c r="B165" i="8"/>
  <c r="A166" i="2"/>
  <c r="F165" i="2"/>
  <c r="E165" i="2"/>
  <c r="D165" i="2" s="1"/>
  <c r="E165" i="8" s="1"/>
  <c r="B165" i="2"/>
  <c r="C165" i="2" s="1"/>
  <c r="C165" i="8" s="1"/>
  <c r="E155" i="16"/>
  <c r="D155" i="16" s="1"/>
  <c r="E155" i="17" s="1"/>
  <c r="I155" i="17"/>
  <c r="G155" i="17" s="1"/>
  <c r="B155" i="17"/>
  <c r="F154" i="16"/>
  <c r="A156" i="16"/>
  <c r="B155" i="16"/>
  <c r="C155" i="16" s="1"/>
  <c r="C155" i="17" s="1"/>
  <c r="B27" i="48" l="1"/>
  <c r="AD27" i="42"/>
  <c r="AE27" i="42" s="1"/>
  <c r="AC27" i="42" s="1"/>
  <c r="F157" i="24"/>
  <c r="A157" i="25"/>
  <c r="A165" i="8"/>
  <c r="C157" i="25"/>
  <c r="A155" i="17"/>
  <c r="A159" i="24"/>
  <c r="I158" i="25"/>
  <c r="G158" i="25" s="1"/>
  <c r="B158" i="25"/>
  <c r="E158" i="24"/>
  <c r="D158" i="24" s="1"/>
  <c r="E158" i="25" s="1"/>
  <c r="B158" i="24"/>
  <c r="C158" i="24" s="1"/>
  <c r="I166" i="8"/>
  <c r="G166" i="8" s="1"/>
  <c r="B166" i="8"/>
  <c r="A167" i="2"/>
  <c r="F166" i="2"/>
  <c r="B166" i="2"/>
  <c r="C166" i="2" s="1"/>
  <c r="C166" i="8" s="1"/>
  <c r="E166" i="2"/>
  <c r="D166" i="2" s="1"/>
  <c r="E166" i="8" s="1"/>
  <c r="E156" i="16"/>
  <c r="D156" i="16" s="1"/>
  <c r="E156" i="17" s="1"/>
  <c r="B156" i="17"/>
  <c r="I156" i="17"/>
  <c r="G156" i="17" s="1"/>
  <c r="F155" i="16"/>
  <c r="A157" i="16"/>
  <c r="B156" i="16"/>
  <c r="C156" i="16" s="1"/>
  <c r="C156" i="17" s="1"/>
  <c r="F158" i="24" l="1"/>
  <c r="A156" i="17"/>
  <c r="C158" i="25"/>
  <c r="A166" i="8"/>
  <c r="A158" i="25"/>
  <c r="A160" i="24"/>
  <c r="I159" i="25"/>
  <c r="G159" i="25" s="1"/>
  <c r="B159" i="25"/>
  <c r="E159" i="24"/>
  <c r="D159" i="24" s="1"/>
  <c r="E159" i="25" s="1"/>
  <c r="B159" i="24"/>
  <c r="C159" i="24" s="1"/>
  <c r="C159" i="25" s="1"/>
  <c r="I167" i="8"/>
  <c r="G167" i="8" s="1"/>
  <c r="B167" i="8"/>
  <c r="A168" i="2"/>
  <c r="B167" i="2"/>
  <c r="C167" i="2" s="1"/>
  <c r="C167" i="8" s="1"/>
  <c r="E167" i="2"/>
  <c r="D167" i="2" s="1"/>
  <c r="E167" i="8" s="1"/>
  <c r="F167" i="2"/>
  <c r="E157" i="16"/>
  <c r="D157" i="16" s="1"/>
  <c r="E157" i="17" s="1"/>
  <c r="B157" i="17"/>
  <c r="I157" i="17"/>
  <c r="G157" i="17" s="1"/>
  <c r="C27" i="47" s="1"/>
  <c r="D27" i="47" s="1"/>
  <c r="F156" i="16"/>
  <c r="A158" i="16"/>
  <c r="B157" i="16"/>
  <c r="C157" i="16" s="1"/>
  <c r="C157" i="17" s="1"/>
  <c r="B27" i="47" l="1"/>
  <c r="P27" i="42"/>
  <c r="Q27" i="42" s="1"/>
  <c r="O27" i="42" s="1"/>
  <c r="A167" i="8"/>
  <c r="A157" i="17"/>
  <c r="A159" i="25"/>
  <c r="F159" i="24"/>
  <c r="A161" i="24"/>
  <c r="I160" i="25"/>
  <c r="G160" i="25" s="1"/>
  <c r="B160" i="25"/>
  <c r="B160" i="24"/>
  <c r="C160" i="24" s="1"/>
  <c r="C160" i="25" s="1"/>
  <c r="E160" i="24"/>
  <c r="D160" i="24" s="1"/>
  <c r="E160" i="25" s="1"/>
  <c r="I168" i="8"/>
  <c r="G168" i="8" s="1"/>
  <c r="B168" i="8"/>
  <c r="A169" i="2"/>
  <c r="E168" i="2"/>
  <c r="D168" i="2" s="1"/>
  <c r="E168" i="8" s="1"/>
  <c r="F168" i="2"/>
  <c r="B168" i="2"/>
  <c r="C168" i="2" s="1"/>
  <c r="C168" i="8" s="1"/>
  <c r="E158" i="16"/>
  <c r="D158" i="16" s="1"/>
  <c r="E158" i="17" s="1"/>
  <c r="I158" i="17"/>
  <c r="G158" i="17" s="1"/>
  <c r="B158" i="17"/>
  <c r="F157" i="16"/>
  <c r="A159" i="16"/>
  <c r="B158" i="16"/>
  <c r="C158" i="16" s="1"/>
  <c r="C158" i="17" s="1"/>
  <c r="F160" i="24" l="1"/>
  <c r="A168" i="8"/>
  <c r="A158" i="17"/>
  <c r="A160" i="25"/>
  <c r="A162" i="24"/>
  <c r="I161" i="25"/>
  <c r="G161" i="25" s="1"/>
  <c r="B161" i="25"/>
  <c r="E161" i="24"/>
  <c r="D161" i="24" s="1"/>
  <c r="E161" i="25" s="1"/>
  <c r="B161" i="24"/>
  <c r="A161" i="25" s="1"/>
  <c r="I169" i="8"/>
  <c r="G169" i="8" s="1"/>
  <c r="B169" i="8"/>
  <c r="A170" i="2"/>
  <c r="B169" i="2"/>
  <c r="C169" i="2" s="1"/>
  <c r="C169" i="8" s="1"/>
  <c r="E169" i="2"/>
  <c r="D169" i="2" s="1"/>
  <c r="E169" i="8" s="1"/>
  <c r="F169" i="2"/>
  <c r="E159" i="16"/>
  <c r="D159" i="16" s="1"/>
  <c r="E159" i="17" s="1"/>
  <c r="B159" i="17"/>
  <c r="I159" i="17"/>
  <c r="G159" i="17" s="1"/>
  <c r="F158" i="16"/>
  <c r="A160" i="16"/>
  <c r="B159" i="16"/>
  <c r="C159" i="16" s="1"/>
  <c r="C159" i="17" s="1"/>
  <c r="A169" i="8" l="1"/>
  <c r="C161" i="24"/>
  <c r="A159" i="17"/>
  <c r="A163" i="24"/>
  <c r="B162" i="25"/>
  <c r="I162" i="25"/>
  <c r="G162" i="25" s="1"/>
  <c r="E162" i="24"/>
  <c r="D162" i="24" s="1"/>
  <c r="E162" i="25" s="1"/>
  <c r="B162" i="24"/>
  <c r="C162" i="24" s="1"/>
  <c r="C162" i="25" s="1"/>
  <c r="I170" i="8"/>
  <c r="G170" i="8" s="1"/>
  <c r="B170" i="8"/>
  <c r="A171" i="2"/>
  <c r="F170" i="2"/>
  <c r="E170" i="2"/>
  <c r="D170" i="2" s="1"/>
  <c r="E170" i="8" s="1"/>
  <c r="B170" i="2"/>
  <c r="C170" i="2" s="1"/>
  <c r="C170" i="8" s="1"/>
  <c r="E160" i="16"/>
  <c r="D160" i="16" s="1"/>
  <c r="E160" i="17" s="1"/>
  <c r="I160" i="17"/>
  <c r="G160" i="17" s="1"/>
  <c r="B160" i="17"/>
  <c r="F159" i="16"/>
  <c r="A161" i="16"/>
  <c r="B160" i="16"/>
  <c r="C160" i="16" s="1"/>
  <c r="C160" i="17" s="1"/>
  <c r="A170" i="8" l="1"/>
  <c r="A162" i="25"/>
  <c r="A160" i="17"/>
  <c r="F162" i="24"/>
  <c r="F161" i="24"/>
  <c r="C161" i="25"/>
  <c r="A164" i="24"/>
  <c r="B163" i="25"/>
  <c r="I163" i="25"/>
  <c r="G163" i="25" s="1"/>
  <c r="B163" i="24"/>
  <c r="C163" i="24" s="1"/>
  <c r="E163" i="24"/>
  <c r="D163" i="24" s="1"/>
  <c r="E163" i="25" s="1"/>
  <c r="I171" i="8"/>
  <c r="G171" i="8" s="1"/>
  <c r="B29" i="46" s="1"/>
  <c r="D29" i="46" s="1"/>
  <c r="B171" i="8"/>
  <c r="A172" i="2"/>
  <c r="E171" i="2"/>
  <c r="D171" i="2" s="1"/>
  <c r="E171" i="8" s="1"/>
  <c r="F171" i="2"/>
  <c r="B171" i="2"/>
  <c r="C171" i="2" s="1"/>
  <c r="C171" i="8" s="1"/>
  <c r="E161" i="16"/>
  <c r="D161" i="16" s="1"/>
  <c r="E161" i="17" s="1"/>
  <c r="I161" i="17"/>
  <c r="G161" i="17" s="1"/>
  <c r="B161" i="17"/>
  <c r="F160" i="16"/>
  <c r="A162" i="16"/>
  <c r="B161" i="16"/>
  <c r="C161" i="16" s="1"/>
  <c r="C161" i="17" s="1"/>
  <c r="A29" i="46" l="1"/>
  <c r="B29" i="42"/>
  <c r="C29" i="42" s="1"/>
  <c r="A29" i="42" s="1"/>
  <c r="A171" i="8"/>
  <c r="A163" i="25"/>
  <c r="F163" i="24"/>
  <c r="A161" i="17"/>
  <c r="C163" i="25"/>
  <c r="A165" i="24"/>
  <c r="I164" i="25"/>
  <c r="G164" i="25" s="1"/>
  <c r="C28" i="48" s="1"/>
  <c r="D28" i="48" s="1"/>
  <c r="B164" i="25"/>
  <c r="E164" i="24"/>
  <c r="D164" i="24" s="1"/>
  <c r="E164" i="25" s="1"/>
  <c r="B164" i="24"/>
  <c r="C164" i="24" s="1"/>
  <c r="B172" i="8"/>
  <c r="I172" i="8"/>
  <c r="G172" i="8" s="1"/>
  <c r="A173" i="2"/>
  <c r="E172" i="2"/>
  <c r="D172" i="2" s="1"/>
  <c r="E172" i="8" s="1"/>
  <c r="F172" i="2"/>
  <c r="B172" i="2"/>
  <c r="C172" i="2" s="1"/>
  <c r="C172" i="8" s="1"/>
  <c r="E162" i="16"/>
  <c r="D162" i="16" s="1"/>
  <c r="E162" i="17" s="1"/>
  <c r="I162" i="17"/>
  <c r="G162" i="17" s="1"/>
  <c r="B162" i="17"/>
  <c r="F161" i="16"/>
  <c r="A163" i="16"/>
  <c r="B162" i="16"/>
  <c r="C162" i="16" s="1"/>
  <c r="C162" i="17" s="1"/>
  <c r="B28" i="48" l="1"/>
  <c r="AD28" i="42"/>
  <c r="AE28" i="42" s="1"/>
  <c r="AC28" i="42" s="1"/>
  <c r="A172" i="8"/>
  <c r="F164" i="24"/>
  <c r="A162" i="17"/>
  <c r="A164" i="25"/>
  <c r="C164" i="25"/>
  <c r="A166" i="24"/>
  <c r="I165" i="25"/>
  <c r="G165" i="25" s="1"/>
  <c r="B165" i="25"/>
  <c r="E165" i="24"/>
  <c r="D165" i="24" s="1"/>
  <c r="E165" i="25" s="1"/>
  <c r="B165" i="24"/>
  <c r="C165" i="24" s="1"/>
  <c r="C165" i="25" s="1"/>
  <c r="I173" i="8"/>
  <c r="G173" i="8" s="1"/>
  <c r="B173" i="8"/>
  <c r="A174" i="2"/>
  <c r="F173" i="2"/>
  <c r="B173" i="2"/>
  <c r="C173" i="2" s="1"/>
  <c r="C173" i="8" s="1"/>
  <c r="E173" i="2"/>
  <c r="D173" i="2" s="1"/>
  <c r="E173" i="8" s="1"/>
  <c r="E163" i="16"/>
  <c r="D163" i="16" s="1"/>
  <c r="E163" i="17" s="1"/>
  <c r="I163" i="17"/>
  <c r="G163" i="17" s="1"/>
  <c r="B163" i="17"/>
  <c r="F162" i="16"/>
  <c r="A164" i="16"/>
  <c r="B163" i="16"/>
  <c r="C163" i="16" s="1"/>
  <c r="C163" i="17" s="1"/>
  <c r="A173" i="8" l="1"/>
  <c r="A165" i="25"/>
  <c r="A163" i="17"/>
  <c r="F165" i="24"/>
  <c r="A167" i="24"/>
  <c r="B166" i="25"/>
  <c r="I166" i="25"/>
  <c r="G166" i="25" s="1"/>
  <c r="B166" i="24"/>
  <c r="C166" i="24" s="1"/>
  <c r="E166" i="24"/>
  <c r="D166" i="24" s="1"/>
  <c r="E166" i="25" s="1"/>
  <c r="I174" i="8"/>
  <c r="G174" i="8" s="1"/>
  <c r="B174" i="8"/>
  <c r="A175" i="2"/>
  <c r="F174" i="2"/>
  <c r="B174" i="2"/>
  <c r="C174" i="2" s="1"/>
  <c r="C174" i="8" s="1"/>
  <c r="E174" i="2"/>
  <c r="D174" i="2" s="1"/>
  <c r="E174" i="8" s="1"/>
  <c r="E164" i="16"/>
  <c r="D164" i="16" s="1"/>
  <c r="E164" i="17" s="1"/>
  <c r="I164" i="17"/>
  <c r="G164" i="17" s="1"/>
  <c r="C28" i="47" s="1"/>
  <c r="D28" i="47" s="1"/>
  <c r="B164" i="17"/>
  <c r="F163" i="16"/>
  <c r="A165" i="16"/>
  <c r="B164" i="16"/>
  <c r="C164" i="16" s="1"/>
  <c r="C164" i="17" s="1"/>
  <c r="B28" i="47" l="1"/>
  <c r="P28" i="42"/>
  <c r="Q28" i="42" s="1"/>
  <c r="O28" i="42" s="1"/>
  <c r="A174" i="8"/>
  <c r="F166" i="24"/>
  <c r="A166" i="25"/>
  <c r="C166" i="25"/>
  <c r="A164" i="17"/>
  <c r="A168" i="24"/>
  <c r="B167" i="25"/>
  <c r="I167" i="25"/>
  <c r="G167" i="25" s="1"/>
  <c r="E167" i="24"/>
  <c r="D167" i="24" s="1"/>
  <c r="E167" i="25" s="1"/>
  <c r="B167" i="24"/>
  <c r="C167" i="24" s="1"/>
  <c r="C167" i="25" s="1"/>
  <c r="I175" i="8"/>
  <c r="G175" i="8" s="1"/>
  <c r="B175" i="8"/>
  <c r="A176" i="2"/>
  <c r="B175" i="2"/>
  <c r="C175" i="2" s="1"/>
  <c r="C175" i="8" s="1"/>
  <c r="E175" i="2"/>
  <c r="D175" i="2" s="1"/>
  <c r="E175" i="8" s="1"/>
  <c r="F175" i="2"/>
  <c r="E165" i="16"/>
  <c r="D165" i="16" s="1"/>
  <c r="E165" i="17" s="1"/>
  <c r="I165" i="17"/>
  <c r="G165" i="17" s="1"/>
  <c r="B165" i="17"/>
  <c r="F164" i="16"/>
  <c r="A166" i="16"/>
  <c r="B165" i="16"/>
  <c r="C165" i="16" s="1"/>
  <c r="C165" i="17" s="1"/>
  <c r="A175" i="8" l="1"/>
  <c r="A167" i="25"/>
  <c r="A165" i="17"/>
  <c r="F167" i="24"/>
  <c r="A169" i="24"/>
  <c r="I168" i="25"/>
  <c r="G168" i="25" s="1"/>
  <c r="B168" i="25"/>
  <c r="B168" i="24"/>
  <c r="C168" i="24" s="1"/>
  <c r="E168" i="24"/>
  <c r="D168" i="24" s="1"/>
  <c r="E168" i="25" s="1"/>
  <c r="I176" i="8"/>
  <c r="G176" i="8" s="1"/>
  <c r="B176" i="8"/>
  <c r="A177" i="2"/>
  <c r="I177" i="8" s="1"/>
  <c r="F176" i="2"/>
  <c r="B176" i="2"/>
  <c r="C176" i="2" s="1"/>
  <c r="C176" i="8" s="1"/>
  <c r="E176" i="2"/>
  <c r="D176" i="2" s="1"/>
  <c r="E176" i="8" s="1"/>
  <c r="E166" i="16"/>
  <c r="D166" i="16" s="1"/>
  <c r="E166" i="17" s="1"/>
  <c r="I166" i="17"/>
  <c r="G166" i="17" s="1"/>
  <c r="B166" i="17"/>
  <c r="F165" i="16"/>
  <c r="A167" i="16"/>
  <c r="B166" i="16"/>
  <c r="C166" i="16" s="1"/>
  <c r="C166" i="17" s="1"/>
  <c r="A176" i="8" l="1"/>
  <c r="A166" i="17"/>
  <c r="A168" i="25"/>
  <c r="F168" i="24"/>
  <c r="C168" i="25"/>
  <c r="A170" i="24"/>
  <c r="I169" i="25"/>
  <c r="G169" i="25" s="1"/>
  <c r="B169" i="25"/>
  <c r="E169" i="24"/>
  <c r="D169" i="24" s="1"/>
  <c r="E169" i="25" s="1"/>
  <c r="B169" i="24"/>
  <c r="C169" i="24" s="1"/>
  <c r="C169" i="25" s="1"/>
  <c r="G177" i="8"/>
  <c r="B177" i="8"/>
  <c r="A178" i="2"/>
  <c r="B177" i="2"/>
  <c r="C177" i="2" s="1"/>
  <c r="C177" i="8" s="1"/>
  <c r="F177" i="2"/>
  <c r="E177" i="2"/>
  <c r="D177" i="2" s="1"/>
  <c r="E177" i="8" s="1"/>
  <c r="E167" i="16"/>
  <c r="D167" i="16" s="1"/>
  <c r="E167" i="17" s="1"/>
  <c r="B167" i="17"/>
  <c r="I167" i="17"/>
  <c r="G167" i="17" s="1"/>
  <c r="F166" i="16"/>
  <c r="A168" i="16"/>
  <c r="B167" i="16"/>
  <c r="C167" i="16" s="1"/>
  <c r="C167" i="17" s="1"/>
  <c r="A177" i="8" l="1"/>
  <c r="A169" i="25"/>
  <c r="F169" i="24"/>
  <c r="A167" i="17"/>
  <c r="A171" i="24"/>
  <c r="I170" i="25"/>
  <c r="G170" i="25" s="1"/>
  <c r="B170" i="25"/>
  <c r="B170" i="24"/>
  <c r="C170" i="24" s="1"/>
  <c r="C170" i="25" s="1"/>
  <c r="E170" i="24"/>
  <c r="D170" i="24" s="1"/>
  <c r="E170" i="25" s="1"/>
  <c r="I178" i="8"/>
  <c r="G178" i="8" s="1"/>
  <c r="B30" i="46" s="1"/>
  <c r="D30" i="46" s="1"/>
  <c r="B178" i="8"/>
  <c r="A179" i="2"/>
  <c r="E178" i="2"/>
  <c r="D178" i="2" s="1"/>
  <c r="E178" i="8" s="1"/>
  <c r="B178" i="2"/>
  <c r="C178" i="2" s="1"/>
  <c r="C178" i="8" s="1"/>
  <c r="F178" i="2"/>
  <c r="E168" i="16"/>
  <c r="D168" i="16" s="1"/>
  <c r="E168" i="17" s="1"/>
  <c r="I168" i="17"/>
  <c r="G168" i="17" s="1"/>
  <c r="B168" i="17"/>
  <c r="F167" i="16"/>
  <c r="A169" i="16"/>
  <c r="B168" i="16"/>
  <c r="C168" i="16" s="1"/>
  <c r="C168" i="17" s="1"/>
  <c r="A30" i="46" l="1"/>
  <c r="B30" i="42"/>
  <c r="C30" i="42" s="1"/>
  <c r="A30" i="42" s="1"/>
  <c r="A178" i="8"/>
  <c r="A170" i="25"/>
  <c r="F170" i="24"/>
  <c r="A168" i="17"/>
  <c r="A172" i="24"/>
  <c r="B171" i="25"/>
  <c r="I171" i="25"/>
  <c r="G171" i="25" s="1"/>
  <c r="C29" i="48" s="1"/>
  <c r="D29" i="48" s="1"/>
  <c r="B171" i="24"/>
  <c r="C171" i="24" s="1"/>
  <c r="C171" i="25" s="1"/>
  <c r="E171" i="24"/>
  <c r="D171" i="24" s="1"/>
  <c r="E171" i="25" s="1"/>
  <c r="I179" i="8"/>
  <c r="G179" i="8" s="1"/>
  <c r="B179" i="8"/>
  <c r="A180" i="2"/>
  <c r="E179" i="2"/>
  <c r="D179" i="2" s="1"/>
  <c r="E179" i="8" s="1"/>
  <c r="F179" i="2"/>
  <c r="B179" i="2"/>
  <c r="C179" i="2" s="1"/>
  <c r="C179" i="8" s="1"/>
  <c r="E169" i="16"/>
  <c r="D169" i="16" s="1"/>
  <c r="E169" i="17" s="1"/>
  <c r="I169" i="17"/>
  <c r="G169" i="17" s="1"/>
  <c r="B169" i="17"/>
  <c r="F168" i="16"/>
  <c r="A170" i="16"/>
  <c r="B169" i="16"/>
  <c r="C169" i="16" s="1"/>
  <c r="C169" i="17" s="1"/>
  <c r="B29" i="48" l="1"/>
  <c r="AD29" i="42"/>
  <c r="AE29" i="42" s="1"/>
  <c r="AC29" i="42" s="1"/>
  <c r="A169" i="17"/>
  <c r="A179" i="8"/>
  <c r="A171" i="25"/>
  <c r="F171" i="24"/>
  <c r="A173" i="24"/>
  <c r="B172" i="25"/>
  <c r="I172" i="25"/>
  <c r="G172" i="25" s="1"/>
  <c r="B172" i="24"/>
  <c r="C172" i="24" s="1"/>
  <c r="C172" i="25" s="1"/>
  <c r="E172" i="24"/>
  <c r="D172" i="24" s="1"/>
  <c r="E172" i="25" s="1"/>
  <c r="B180" i="8"/>
  <c r="I180" i="8"/>
  <c r="G180" i="8" s="1"/>
  <c r="A181" i="2"/>
  <c r="B180" i="2"/>
  <c r="A180" i="8" s="1"/>
  <c r="F180" i="2"/>
  <c r="E180" i="2"/>
  <c r="D180" i="2" s="1"/>
  <c r="E180" i="8" s="1"/>
  <c r="E170" i="16"/>
  <c r="D170" i="16" s="1"/>
  <c r="E170" i="17" s="1"/>
  <c r="I170" i="17"/>
  <c r="G170" i="17" s="1"/>
  <c r="B170" i="17"/>
  <c r="F169" i="16"/>
  <c r="A171" i="16"/>
  <c r="B170" i="16"/>
  <c r="C170" i="16" s="1"/>
  <c r="C170" i="17" s="1"/>
  <c r="A172" i="25" l="1"/>
  <c r="A170" i="17"/>
  <c r="F172" i="24"/>
  <c r="A174" i="24"/>
  <c r="I173" i="25"/>
  <c r="G173" i="25" s="1"/>
  <c r="B173" i="25"/>
  <c r="E173" i="24"/>
  <c r="D173" i="24" s="1"/>
  <c r="E173" i="25" s="1"/>
  <c r="B173" i="24"/>
  <c r="C173" i="24" s="1"/>
  <c r="C173" i="25" s="1"/>
  <c r="C180" i="2"/>
  <c r="C180" i="8" s="1"/>
  <c r="I181" i="8"/>
  <c r="G181" i="8" s="1"/>
  <c r="B181" i="8"/>
  <c r="B181" i="2"/>
  <c r="C181" i="2" s="1"/>
  <c r="C181" i="8" s="1"/>
  <c r="A182" i="2"/>
  <c r="F181" i="2"/>
  <c r="E181" i="2"/>
  <c r="D181" i="2" s="1"/>
  <c r="E181" i="8" s="1"/>
  <c r="E171" i="16"/>
  <c r="D171" i="16" s="1"/>
  <c r="E171" i="17" s="1"/>
  <c r="I171" i="17"/>
  <c r="G171" i="17" s="1"/>
  <c r="C29" i="47" s="1"/>
  <c r="D29" i="47" s="1"/>
  <c r="B171" i="17"/>
  <c r="F170" i="16"/>
  <c r="A172" i="16"/>
  <c r="B171" i="16"/>
  <c r="C171" i="16" s="1"/>
  <c r="C171" i="17" s="1"/>
  <c r="B29" i="47" l="1"/>
  <c r="P29" i="42"/>
  <c r="Q29" i="42" s="1"/>
  <c r="O29" i="42" s="1"/>
  <c r="A181" i="8"/>
  <c r="A173" i="25"/>
  <c r="A171" i="17"/>
  <c r="F173" i="24"/>
  <c r="A175" i="24"/>
  <c r="B174" i="25"/>
  <c r="I174" i="25"/>
  <c r="G174" i="25" s="1"/>
  <c r="E174" i="24"/>
  <c r="D174" i="24" s="1"/>
  <c r="E174" i="25" s="1"/>
  <c r="B174" i="24"/>
  <c r="C174" i="24" s="1"/>
  <c r="C174" i="25" s="1"/>
  <c r="I182" i="8"/>
  <c r="G182" i="8" s="1"/>
  <c r="B182" i="8"/>
  <c r="A183" i="2"/>
  <c r="B182" i="2"/>
  <c r="C182" i="2" s="1"/>
  <c r="C182" i="8" s="1"/>
  <c r="F182" i="2"/>
  <c r="E182" i="2"/>
  <c r="D182" i="2" s="1"/>
  <c r="E182" i="8" s="1"/>
  <c r="E172" i="16"/>
  <c r="D172" i="16" s="1"/>
  <c r="E172" i="17" s="1"/>
  <c r="B172" i="17"/>
  <c r="I172" i="17"/>
  <c r="G172" i="17" s="1"/>
  <c r="F171" i="16"/>
  <c r="A173" i="16"/>
  <c r="B172" i="16"/>
  <c r="C172" i="16" s="1"/>
  <c r="C172" i="17" s="1"/>
  <c r="A182" i="8" l="1"/>
  <c r="A172" i="17"/>
  <c r="A174" i="25"/>
  <c r="F174" i="24"/>
  <c r="A176" i="24"/>
  <c r="I175" i="25"/>
  <c r="G175" i="25" s="1"/>
  <c r="B175" i="25"/>
  <c r="E175" i="24"/>
  <c r="D175" i="24" s="1"/>
  <c r="E175" i="25" s="1"/>
  <c r="B175" i="24"/>
  <c r="C175" i="24" s="1"/>
  <c r="C175" i="25" s="1"/>
  <c r="I183" i="8"/>
  <c r="G183" i="8" s="1"/>
  <c r="B183" i="8"/>
  <c r="B183" i="2"/>
  <c r="C183" i="2" s="1"/>
  <c r="C183" i="8" s="1"/>
  <c r="A184" i="2"/>
  <c r="F183" i="2"/>
  <c r="E183" i="2"/>
  <c r="D183" i="2" s="1"/>
  <c r="E183" i="8" s="1"/>
  <c r="E173" i="16"/>
  <c r="D173" i="16" s="1"/>
  <c r="E173" i="17" s="1"/>
  <c r="I173" i="17"/>
  <c r="G173" i="17" s="1"/>
  <c r="B173" i="17"/>
  <c r="F172" i="16"/>
  <c r="A174" i="16"/>
  <c r="B173" i="16"/>
  <c r="C173" i="16" s="1"/>
  <c r="C173" i="17" s="1"/>
  <c r="A175" i="25" l="1"/>
  <c r="A183" i="8"/>
  <c r="A173" i="17"/>
  <c r="F175" i="24"/>
  <c r="A177" i="24"/>
  <c r="B176" i="25"/>
  <c r="I176" i="25"/>
  <c r="G176" i="25" s="1"/>
  <c r="E176" i="24"/>
  <c r="D176" i="24" s="1"/>
  <c r="E176" i="25" s="1"/>
  <c r="B176" i="24"/>
  <c r="C176" i="24" s="1"/>
  <c r="C176" i="25" s="1"/>
  <c r="I184" i="8"/>
  <c r="G184" i="8" s="1"/>
  <c r="B184" i="8"/>
  <c r="B184" i="2"/>
  <c r="C184" i="2" s="1"/>
  <c r="C184" i="8" s="1"/>
  <c r="A185" i="2"/>
  <c r="F184" i="2"/>
  <c r="E184" i="2"/>
  <c r="D184" i="2" s="1"/>
  <c r="E184" i="8" s="1"/>
  <c r="E174" i="16"/>
  <c r="D174" i="16" s="1"/>
  <c r="E174" i="17" s="1"/>
  <c r="I174" i="17"/>
  <c r="G174" i="17" s="1"/>
  <c r="B174" i="17"/>
  <c r="F173" i="16"/>
  <c r="A175" i="16"/>
  <c r="B174" i="16"/>
  <c r="C174" i="16" s="1"/>
  <c r="C174" i="17" s="1"/>
  <c r="A174" i="17" l="1"/>
  <c r="A184" i="8"/>
  <c r="A176" i="25"/>
  <c r="F176" i="24"/>
  <c r="A178" i="24"/>
  <c r="I177" i="25"/>
  <c r="G177" i="25" s="1"/>
  <c r="B177" i="25"/>
  <c r="E177" i="24"/>
  <c r="D177" i="24" s="1"/>
  <c r="E177" i="25" s="1"/>
  <c r="B177" i="24"/>
  <c r="C177" i="24" s="1"/>
  <c r="C177" i="25" s="1"/>
  <c r="I185" i="8"/>
  <c r="G185" i="8" s="1"/>
  <c r="B31" i="46" s="1"/>
  <c r="D31" i="46" s="1"/>
  <c r="B185" i="8"/>
  <c r="E10" i="7" s="1"/>
  <c r="B185" i="2"/>
  <c r="C185" i="2" s="1"/>
  <c r="C185" i="8" s="1"/>
  <c r="F185" i="2"/>
  <c r="E185" i="2"/>
  <c r="D185" i="2" s="1"/>
  <c r="E185" i="8" s="1"/>
  <c r="E175" i="16"/>
  <c r="D175" i="16" s="1"/>
  <c r="E175" i="17" s="1"/>
  <c r="B175" i="17"/>
  <c r="I175" i="17"/>
  <c r="G175" i="17" s="1"/>
  <c r="F174" i="16"/>
  <c r="A176" i="16"/>
  <c r="B175" i="16"/>
  <c r="C175" i="16" s="1"/>
  <c r="C175" i="17" s="1"/>
  <c r="A31" i="46" l="1"/>
  <c r="B31" i="42"/>
  <c r="C31" i="42" s="1"/>
  <c r="A177" i="25"/>
  <c r="A185" i="8"/>
  <c r="A175" i="17"/>
  <c r="F177" i="24"/>
  <c r="A179" i="24"/>
  <c r="I178" i="25"/>
  <c r="G178" i="25" s="1"/>
  <c r="C30" i="48" s="1"/>
  <c r="D30" i="48" s="1"/>
  <c r="B178" i="25"/>
  <c r="E178" i="24"/>
  <c r="D178" i="24" s="1"/>
  <c r="E178" i="25" s="1"/>
  <c r="B178" i="24"/>
  <c r="C178" i="24" s="1"/>
  <c r="C178" i="25" s="1"/>
  <c r="E176" i="16"/>
  <c r="D176" i="16" s="1"/>
  <c r="E176" i="17" s="1"/>
  <c r="I176" i="17"/>
  <c r="G176" i="17" s="1"/>
  <c r="B176" i="17"/>
  <c r="F175" i="16"/>
  <c r="A177" i="16"/>
  <c r="B176" i="16"/>
  <c r="C176" i="16" s="1"/>
  <c r="C176" i="17" s="1"/>
  <c r="B30" i="48" l="1"/>
  <c r="AD30" i="42"/>
  <c r="AE30" i="42" s="1"/>
  <c r="AC30" i="42" s="1"/>
  <c r="A31" i="42"/>
  <c r="A176" i="17"/>
  <c r="A178" i="25"/>
  <c r="F178" i="24"/>
  <c r="A180" i="24"/>
  <c r="I179" i="25"/>
  <c r="G179" i="25" s="1"/>
  <c r="B179" i="25"/>
  <c r="E179" i="24"/>
  <c r="D179" i="24" s="1"/>
  <c r="E179" i="25" s="1"/>
  <c r="B179" i="24"/>
  <c r="C179" i="24" s="1"/>
  <c r="C179" i="25" s="1"/>
  <c r="E177" i="16"/>
  <c r="D177" i="16" s="1"/>
  <c r="E177" i="17" s="1"/>
  <c r="B177" i="17"/>
  <c r="I177" i="17"/>
  <c r="G177" i="17" s="1"/>
  <c r="F176" i="16"/>
  <c r="A178" i="16"/>
  <c r="B177" i="16"/>
  <c r="C177" i="16" s="1"/>
  <c r="C177" i="17" s="1"/>
  <c r="A177" i="17" l="1"/>
  <c r="A179" i="25"/>
  <c r="F179" i="24"/>
  <c r="A181" i="24"/>
  <c r="I180" i="25"/>
  <c r="G180" i="25" s="1"/>
  <c r="B180" i="25"/>
  <c r="E180" i="24"/>
  <c r="D180" i="24" s="1"/>
  <c r="E180" i="25" s="1"/>
  <c r="B180" i="24"/>
  <c r="C180" i="24" s="1"/>
  <c r="C180" i="25" s="1"/>
  <c r="E178" i="16"/>
  <c r="D178" i="16" s="1"/>
  <c r="E178" i="17" s="1"/>
  <c r="B178" i="17"/>
  <c r="I178" i="17"/>
  <c r="G178" i="17" s="1"/>
  <c r="C30" i="47" s="1"/>
  <c r="D30" i="47" s="1"/>
  <c r="F177" i="16"/>
  <c r="A179" i="16"/>
  <c r="B178" i="16"/>
  <c r="C178" i="16" s="1"/>
  <c r="C178" i="17" s="1"/>
  <c r="B30" i="47" l="1"/>
  <c r="P30" i="42"/>
  <c r="Q30" i="42" s="1"/>
  <c r="O30" i="42" s="1"/>
  <c r="A180" i="25"/>
  <c r="A178" i="17"/>
  <c r="F180" i="24"/>
  <c r="A182" i="24"/>
  <c r="B181" i="25"/>
  <c r="I181" i="25"/>
  <c r="G181" i="25" s="1"/>
  <c r="B181" i="24"/>
  <c r="C181" i="24" s="1"/>
  <c r="C181" i="25" s="1"/>
  <c r="E181" i="24"/>
  <c r="D181" i="24" s="1"/>
  <c r="E181" i="25" s="1"/>
  <c r="E179" i="16"/>
  <c r="D179" i="16" s="1"/>
  <c r="E179" i="17" s="1"/>
  <c r="B179" i="17"/>
  <c r="I179" i="17"/>
  <c r="G179" i="17" s="1"/>
  <c r="F178" i="16"/>
  <c r="A180" i="16"/>
  <c r="B179" i="16"/>
  <c r="C179" i="16" s="1"/>
  <c r="C179" i="17" s="1"/>
  <c r="A179" i="17" l="1"/>
  <c r="A181" i="25"/>
  <c r="F181" i="24"/>
  <c r="A183" i="24"/>
  <c r="I182" i="25"/>
  <c r="G182" i="25" s="1"/>
  <c r="B182" i="25"/>
  <c r="E182" i="24"/>
  <c r="D182" i="24" s="1"/>
  <c r="E182" i="25" s="1"/>
  <c r="B182" i="24"/>
  <c r="C182" i="24" s="1"/>
  <c r="C182" i="25" s="1"/>
  <c r="E180" i="16"/>
  <c r="D180" i="16" s="1"/>
  <c r="E180" i="17" s="1"/>
  <c r="I180" i="17"/>
  <c r="G180" i="17" s="1"/>
  <c r="B180" i="17"/>
  <c r="F179" i="16"/>
  <c r="A181" i="16"/>
  <c r="B180" i="16"/>
  <c r="C180" i="16" s="1"/>
  <c r="C180" i="17" s="1"/>
  <c r="A182" i="25" l="1"/>
  <c r="A180" i="17"/>
  <c r="F182" i="24"/>
  <c r="A184" i="24"/>
  <c r="B183" i="24"/>
  <c r="A183" i="25" s="1"/>
  <c r="E183" i="24"/>
  <c r="B183" i="25"/>
  <c r="I183" i="25"/>
  <c r="G183" i="25" s="1"/>
  <c r="E181" i="16"/>
  <c r="D181" i="16" s="1"/>
  <c r="E181" i="17" s="1"/>
  <c r="B181" i="17"/>
  <c r="I181" i="17"/>
  <c r="G181" i="17" s="1"/>
  <c r="F180" i="16"/>
  <c r="A182" i="16"/>
  <c r="B181" i="16"/>
  <c r="C181" i="16" s="1"/>
  <c r="C181" i="17" s="1"/>
  <c r="C183" i="24" l="1"/>
  <c r="C183" i="25" s="1"/>
  <c r="D183" i="24"/>
  <c r="A181" i="17"/>
  <c r="E184" i="24"/>
  <c r="B184" i="24"/>
  <c r="A184" i="25" s="1"/>
  <c r="A185" i="24"/>
  <c r="I184" i="25"/>
  <c r="G184" i="25" s="1"/>
  <c r="B184" i="25"/>
  <c r="F181" i="16"/>
  <c r="E182" i="16"/>
  <c r="D182" i="16" s="1"/>
  <c r="E182" i="17" s="1"/>
  <c r="I182" i="17"/>
  <c r="G182" i="17" s="1"/>
  <c r="B182" i="17"/>
  <c r="A183" i="16"/>
  <c r="B182" i="16"/>
  <c r="C182" i="16" s="1"/>
  <c r="C182" i="17" s="1"/>
  <c r="C184" i="24" l="1"/>
  <c r="C184" i="25" s="1"/>
  <c r="F183" i="24"/>
  <c r="B183" i="17"/>
  <c r="D184" i="24"/>
  <c r="E183" i="25"/>
  <c r="A182" i="17"/>
  <c r="E185" i="24"/>
  <c r="B185" i="24"/>
  <c r="C185" i="24" s="1"/>
  <c r="I185" i="25"/>
  <c r="G185" i="25" s="1"/>
  <c r="C31" i="48" s="1"/>
  <c r="D31" i="48" s="1"/>
  <c r="B185" i="25"/>
  <c r="E10" i="23" s="1"/>
  <c r="F182" i="16"/>
  <c r="E183" i="16"/>
  <c r="D183" i="16" s="1"/>
  <c r="E183" i="17" s="1"/>
  <c r="I183" i="17"/>
  <c r="G183" i="17" s="1"/>
  <c r="A184" i="16"/>
  <c r="B183" i="16"/>
  <c r="C183" i="16" s="1"/>
  <c r="F185" i="24" l="1"/>
  <c r="F184" i="24"/>
  <c r="A185" i="25"/>
  <c r="B31" i="48"/>
  <c r="AD31" i="42"/>
  <c r="AE31" i="42" s="1"/>
  <c r="C185" i="25"/>
  <c r="D185" i="24"/>
  <c r="F183" i="16"/>
  <c r="E184" i="25"/>
  <c r="C183" i="17"/>
  <c r="A183" i="17"/>
  <c r="E184" i="16"/>
  <c r="D184" i="16" s="1"/>
  <c r="B184" i="17"/>
  <c r="I184" i="17"/>
  <c r="G184" i="17" s="1"/>
  <c r="A185" i="16"/>
  <c r="B184" i="16"/>
  <c r="C184" i="16" s="1"/>
  <c r="F184" i="16" l="1"/>
  <c r="AC31" i="42"/>
  <c r="E184" i="17"/>
  <c r="E185" i="25"/>
  <c r="C184" i="17"/>
  <c r="A184" i="17"/>
  <c r="E185" i="16"/>
  <c r="D185" i="16" s="1"/>
  <c r="B185" i="17"/>
  <c r="E10" i="15" s="1"/>
  <c r="I185" i="17"/>
  <c r="G185" i="17" s="1"/>
  <c r="C31" i="47" s="1"/>
  <c r="D31" i="47" s="1"/>
  <c r="B185" i="16"/>
  <c r="C185" i="16" s="1"/>
  <c r="B31" i="47" l="1"/>
  <c r="P31" i="42"/>
  <c r="Q31" i="42" s="1"/>
  <c r="E185" i="17"/>
  <c r="F185" i="16"/>
  <c r="A185" i="17"/>
  <c r="C185" i="17"/>
  <c r="O31" i="42" l="1"/>
  <c r="C18" i="4" l="1"/>
  <c r="C31" i="4" s="1"/>
  <c r="C29" i="26" l="1"/>
  <c r="Q49" i="13" l="1"/>
  <c r="Q64" i="13"/>
  <c r="Q55" i="13"/>
  <c r="W64" i="13"/>
  <c r="Q59" i="13"/>
  <c r="W72" i="13"/>
  <c r="Q72" i="13"/>
  <c r="N51" i="13"/>
  <c r="Q62" i="13"/>
  <c r="Q66" i="13"/>
  <c r="Q65" i="13"/>
  <c r="Q73" i="13"/>
  <c r="W62" i="13"/>
  <c r="N62" i="13" s="1"/>
  <c r="W65" i="13"/>
  <c r="N65" i="13"/>
  <c r="W53" i="13"/>
  <c r="N53" i="13" s="1"/>
  <c r="Q53" i="13"/>
  <c r="W51" i="13"/>
  <c r="Q51" i="13"/>
  <c r="Q71" i="13"/>
  <c r="W69" i="13"/>
  <c r="Q69" i="13"/>
  <c r="Q68" i="13"/>
  <c r="Q58" i="13"/>
  <c r="W57" i="13"/>
  <c r="Q57" i="13"/>
  <c r="W56" i="13"/>
  <c r="Q56" i="13"/>
  <c r="W71" i="13"/>
  <c r="N71" i="13" s="1"/>
  <c r="W55" i="13"/>
  <c r="N55" i="13" s="1"/>
  <c r="W59" i="13"/>
  <c r="N59" i="13" s="1"/>
  <c r="W52" i="13"/>
  <c r="Q52" i="13"/>
  <c r="W66" i="13"/>
  <c r="N66" i="13" s="1"/>
  <c r="W70" i="13"/>
  <c r="Q70" i="13"/>
  <c r="W58" i="13"/>
  <c r="N58" i="13" s="1"/>
  <c r="W54" i="13"/>
  <c r="Q54" i="13"/>
  <c r="W63" i="13"/>
  <c r="N63" i="13" s="1"/>
  <c r="Q63" i="13"/>
  <c r="W61" i="13"/>
  <c r="Q61" i="13"/>
  <c r="W60" i="13"/>
  <c r="Q60" i="13"/>
  <c r="W67" i="13"/>
  <c r="N67" i="13" s="1"/>
  <c r="Q67" i="13"/>
  <c r="W50" i="13"/>
  <c r="N50" i="13" s="1"/>
  <c r="Q50" i="13"/>
  <c r="W68" i="13"/>
  <c r="N68" i="13" s="1"/>
  <c r="W49" i="13"/>
  <c r="N49" i="13" s="1"/>
  <c r="W73" i="13"/>
  <c r="N73" i="13" s="1"/>
  <c r="N70" i="13" l="1"/>
  <c r="N60" i="13"/>
  <c r="N54" i="13"/>
  <c r="N52" i="13"/>
  <c r="N56" i="13"/>
  <c r="N69" i="13"/>
  <c r="N61" i="13"/>
  <c r="N57" i="13"/>
  <c r="N72" i="13"/>
  <c r="N64" i="13"/>
  <c r="R62" i="13"/>
  <c r="S62" i="13" s="1"/>
  <c r="S66" i="13"/>
  <c r="R66" i="13"/>
  <c r="R54" i="13"/>
  <c r="S54" i="13" s="1"/>
  <c r="R63" i="13"/>
  <c r="S63" i="13" s="1"/>
  <c r="S58" i="13"/>
  <c r="R58" i="13"/>
  <c r="R59" i="13"/>
  <c r="S59" i="13" s="1"/>
  <c r="S52" i="13"/>
  <c r="R52" i="13"/>
  <c r="R51" i="13"/>
  <c r="S51" i="13" s="1"/>
  <c r="R60" i="13"/>
  <c r="S60" i="13" s="1"/>
  <c r="S72" i="13"/>
  <c r="R72" i="13"/>
  <c r="R65" i="13"/>
  <c r="S65" i="13" s="1"/>
  <c r="S55" i="13"/>
  <c r="R55" i="13"/>
  <c r="R67" i="13"/>
  <c r="S67" i="13" s="1"/>
  <c r="R64" i="13"/>
  <c r="S64" i="13" s="1"/>
  <c r="R68" i="13"/>
  <c r="S68" i="13" s="1"/>
  <c r="S73" i="13"/>
  <c r="R73" i="13"/>
  <c r="R50" i="13"/>
  <c r="S50" i="13" s="1"/>
  <c r="S61" i="13"/>
  <c r="R61" i="13"/>
  <c r="X50" i="13"/>
  <c r="O50" i="13" s="1"/>
  <c r="P50" i="13" s="1"/>
  <c r="Y50" i="13"/>
  <c r="X59" i="13"/>
  <c r="O59" i="13" s="1"/>
  <c r="P59" i="13" s="1"/>
  <c r="X67" i="13"/>
  <c r="O67" i="13" s="1"/>
  <c r="P67" i="13" s="1"/>
  <c r="R57" i="13"/>
  <c r="S57" i="13" s="1"/>
  <c r="R70" i="13"/>
  <c r="S70" i="13" s="1"/>
  <c r="X55" i="13"/>
  <c r="Y55" i="13" s="1"/>
  <c r="F47" i="2" s="1"/>
  <c r="X63" i="13"/>
  <c r="O63" i="13" s="1"/>
  <c r="P63" i="13" s="1"/>
  <c r="Y63" i="13"/>
  <c r="F55" i="2" s="1"/>
  <c r="R56" i="13"/>
  <c r="S56" i="13" s="1"/>
  <c r="X62" i="13"/>
  <c r="Y62" i="13" s="1"/>
  <c r="F54" i="2" s="1"/>
  <c r="X70" i="13"/>
  <c r="O70" i="13" s="1"/>
  <c r="P70" i="13" s="1"/>
  <c r="X52" i="13"/>
  <c r="O52" i="13" s="1"/>
  <c r="X60" i="13"/>
  <c r="O60" i="13" s="1"/>
  <c r="P60" i="13" s="1"/>
  <c r="Y60" i="13"/>
  <c r="F52" i="2"/>
  <c r="X68" i="13"/>
  <c r="Y68" i="13" s="1"/>
  <c r="F60" i="2" s="1"/>
  <c r="R69" i="13"/>
  <c r="S69" i="13"/>
  <c r="X58" i="13"/>
  <c r="O58" i="13" s="1"/>
  <c r="P58" i="13" s="1"/>
  <c r="X61" i="13"/>
  <c r="Y61" i="13" s="1"/>
  <c r="F53" i="2" s="1"/>
  <c r="X69" i="13"/>
  <c r="O69" i="13" s="1"/>
  <c r="P69" i="13" s="1"/>
  <c r="Y69" i="13"/>
  <c r="F61" i="2" s="1"/>
  <c r="X71" i="13"/>
  <c r="O71" i="13" s="1"/>
  <c r="P71" i="13" s="1"/>
  <c r="R71" i="13"/>
  <c r="S71" i="13"/>
  <c r="X66" i="13"/>
  <c r="O66" i="13" s="1"/>
  <c r="P66" i="13" s="1"/>
  <c r="F58" i="2"/>
  <c r="X56" i="13"/>
  <c r="Y56" i="13" s="1"/>
  <c r="F48" i="2" s="1"/>
  <c r="X64" i="13"/>
  <c r="O64" i="13" s="1"/>
  <c r="P64" i="13" s="1"/>
  <c r="X72" i="13"/>
  <c r="O72" i="13" s="1"/>
  <c r="P72" i="13" s="1"/>
  <c r="F64" i="2"/>
  <c r="X53" i="13"/>
  <c r="O53" i="13" s="1"/>
  <c r="P53" i="13" s="1"/>
  <c r="R53" i="13"/>
  <c r="S53" i="13"/>
  <c r="R49" i="13"/>
  <c r="S49" i="13"/>
  <c r="X54" i="13"/>
  <c r="O54" i="13" s="1"/>
  <c r="P54" i="13" s="1"/>
  <c r="X57" i="13"/>
  <c r="O57" i="13" s="1"/>
  <c r="Y57" i="13"/>
  <c r="F49" i="2"/>
  <c r="X65" i="13"/>
  <c r="O65" i="13" s="1"/>
  <c r="P65" i="13" s="1"/>
  <c r="F57" i="2"/>
  <c r="X73" i="13"/>
  <c r="O73" i="13" s="1"/>
  <c r="P73" i="13" s="1"/>
  <c r="F65" i="2"/>
  <c r="X51" i="13"/>
  <c r="O51" i="13" s="1"/>
  <c r="P51" i="13" s="1"/>
  <c r="F43" i="2"/>
  <c r="X49" i="13"/>
  <c r="O49" i="13" s="1"/>
  <c r="P49" i="13" s="1"/>
  <c r="Y73" i="13" l="1"/>
  <c r="Y54" i="13"/>
  <c r="F46" i="2" s="1"/>
  <c r="Y72" i="13"/>
  <c r="P57" i="13"/>
  <c r="Y65" i="13"/>
  <c r="P52" i="13"/>
  <c r="Y51" i="13"/>
  <c r="Y66" i="13"/>
  <c r="Y70" i="13"/>
  <c r="F62" i="2" s="1"/>
  <c r="Y49" i="13"/>
  <c r="Y58" i="13"/>
  <c r="F50" i="2" s="1"/>
  <c r="Y52" i="13"/>
  <c r="F44" i="2" s="1"/>
  <c r="Y59" i="13"/>
  <c r="F51" i="2" s="1"/>
  <c r="O62" i="13"/>
  <c r="P62" i="13" s="1"/>
  <c r="Y64" i="13"/>
  <c r="F56" i="2" s="1"/>
  <c r="Y53" i="13"/>
  <c r="F45" i="2" s="1"/>
  <c r="O55" i="13"/>
  <c r="P55" i="13" s="1"/>
  <c r="O68" i="13"/>
  <c r="P68" i="13" s="1"/>
  <c r="O61" i="13"/>
  <c r="P61" i="13" s="1"/>
  <c r="O56" i="13"/>
  <c r="P56" i="13" s="1"/>
  <c r="Y71" i="13"/>
  <c r="F63" i="2" s="1"/>
  <c r="Y67" i="13"/>
  <c r="F59" i="2" s="1"/>
  <c r="B5" i="34" l="1"/>
  <c r="B17" i="34" s="1"/>
  <c r="B32" i="34" l="1"/>
  <c r="B35" i="34"/>
  <c r="B37" i="34"/>
  <c r="B38" i="34"/>
  <c r="B33" i="34"/>
  <c r="B48" i="34"/>
  <c r="B10" i="34"/>
  <c r="B14" i="34"/>
  <c r="B31" i="34"/>
  <c r="B13" i="34"/>
  <c r="B21" i="34"/>
  <c r="B30" i="34"/>
  <c r="B7" i="34"/>
  <c r="B8" i="34"/>
  <c r="B36" i="34"/>
  <c r="B20" i="34"/>
  <c r="B16" i="34"/>
  <c r="B12" i="34"/>
  <c r="B25" i="34"/>
  <c r="B19" i="34"/>
  <c r="B44" i="34"/>
  <c r="B22" i="34"/>
  <c r="B26" i="34"/>
  <c r="B23" i="34"/>
  <c r="B47" i="34"/>
  <c r="B24" i="34"/>
  <c r="B11" i="34"/>
  <c r="B40" i="34"/>
  <c r="B27" i="34"/>
  <c r="B29" i="34"/>
  <c r="B43" i="34"/>
  <c r="B34" i="34"/>
  <c r="B39" i="34"/>
  <c r="B45" i="34"/>
  <c r="B28" i="34"/>
  <c r="B15" i="34"/>
  <c r="B18" i="34"/>
  <c r="B42" i="34"/>
  <c r="B41" i="34"/>
  <c r="B46" i="34"/>
  <c r="B9" i="34"/>
  <c r="B53" i="34" l="1"/>
  <c r="B52" i="34"/>
  <c r="C49" i="34" l="1"/>
  <c r="C55" i="34" s="1"/>
  <c r="C5" i="34"/>
  <c r="C7" i="34" l="1"/>
  <c r="B6" i="13" s="1"/>
  <c r="C9" i="34"/>
  <c r="C8" i="34"/>
  <c r="C13" i="34"/>
  <c r="C44" i="34"/>
  <c r="C22" i="34"/>
  <c r="C40" i="34"/>
  <c r="C25" i="34"/>
  <c r="C31" i="34"/>
  <c r="C46" i="34"/>
  <c r="C21" i="34"/>
  <c r="C35" i="34"/>
  <c r="C47" i="34"/>
  <c r="C26" i="34"/>
  <c r="C41" i="34"/>
  <c r="C28" i="34"/>
  <c r="C34" i="34"/>
  <c r="C38" i="34"/>
  <c r="C45" i="34"/>
  <c r="C15" i="34"/>
  <c r="C36" i="34"/>
  <c r="C30" i="34"/>
  <c r="C12" i="34"/>
  <c r="C23" i="34"/>
  <c r="C39" i="34"/>
  <c r="C43" i="34"/>
  <c r="C14" i="34"/>
  <c r="C17" i="34"/>
  <c r="C18" i="34"/>
  <c r="C24" i="34"/>
  <c r="C16" i="34"/>
  <c r="C19" i="34"/>
  <c r="C27" i="34"/>
  <c r="C33" i="34"/>
  <c r="C32" i="34"/>
  <c r="C37" i="34"/>
  <c r="C20" i="34"/>
  <c r="C42" i="34"/>
  <c r="C10" i="34"/>
  <c r="C29" i="34"/>
  <c r="C11" i="34"/>
  <c r="C48" i="34"/>
  <c r="C54" i="34"/>
  <c r="B30" i="13" l="1"/>
  <c r="B40" i="13"/>
  <c r="B10" i="13"/>
  <c r="B38" i="13"/>
  <c r="B22" i="13"/>
  <c r="B41" i="13"/>
  <c r="B21" i="13"/>
  <c r="B26" i="13"/>
  <c r="B33" i="13"/>
  <c r="B18" i="13"/>
  <c r="B24" i="13"/>
  <c r="B15" i="13"/>
  <c r="B39" i="13"/>
  <c r="B29" i="13"/>
  <c r="B19" i="13"/>
  <c r="B17" i="13"/>
  <c r="B35" i="13"/>
  <c r="C52" i="34"/>
  <c r="B46" i="13"/>
  <c r="B43" i="13"/>
  <c r="B36" i="13"/>
  <c r="B16" i="13"/>
  <c r="B14" i="13"/>
  <c r="B34" i="13"/>
  <c r="B12" i="13"/>
  <c r="K6" i="13"/>
  <c r="B7" i="13"/>
  <c r="B28" i="13"/>
  <c r="B27" i="13"/>
  <c r="B9" i="13"/>
  <c r="B11" i="13"/>
  <c r="B23" i="13"/>
  <c r="B25" i="13"/>
  <c r="B31" i="13"/>
  <c r="B13" i="13"/>
  <c r="B44" i="13"/>
  <c r="B20" i="13"/>
  <c r="C53" i="34"/>
  <c r="B47" i="13"/>
  <c r="B32" i="13"/>
  <c r="B42" i="13"/>
  <c r="B37" i="13"/>
  <c r="B45" i="13"/>
  <c r="B8" i="13"/>
  <c r="K25" i="13" l="1"/>
  <c r="B19" i="16"/>
  <c r="K17" i="13"/>
  <c r="B11" i="16"/>
  <c r="K15" i="13"/>
  <c r="B9" i="16"/>
  <c r="K8" i="13"/>
  <c r="K32" i="13"/>
  <c r="B26" i="16"/>
  <c r="K44" i="13"/>
  <c r="B38" i="16"/>
  <c r="K23" i="13"/>
  <c r="B17" i="16"/>
  <c r="K28" i="13"/>
  <c r="B22" i="16"/>
  <c r="K34" i="13"/>
  <c r="B28" i="16"/>
  <c r="K43" i="13"/>
  <c r="B37" i="16"/>
  <c r="K12" i="13"/>
  <c r="B6" i="16"/>
  <c r="K26" i="13"/>
  <c r="B20" i="16"/>
  <c r="K19" i="13"/>
  <c r="B13" i="16"/>
  <c r="K24" i="13"/>
  <c r="B18" i="16"/>
  <c r="K21" i="13"/>
  <c r="B15" i="16"/>
  <c r="K10" i="13"/>
  <c r="B4" i="16"/>
  <c r="K42" i="13"/>
  <c r="B36" i="16"/>
  <c r="K38" i="13"/>
  <c r="B32" i="16"/>
  <c r="K45" i="13"/>
  <c r="B39" i="16"/>
  <c r="K47" i="13"/>
  <c r="E48" i="13"/>
  <c r="F6" i="34" s="1"/>
  <c r="F49" i="34" s="1"/>
  <c r="F55" i="34" s="1"/>
  <c r="B41" i="16"/>
  <c r="K13" i="13"/>
  <c r="B7" i="16"/>
  <c r="K11" i="13"/>
  <c r="B5" i="16"/>
  <c r="K7" i="13"/>
  <c r="K14" i="13"/>
  <c r="B8" i="16"/>
  <c r="K46" i="13"/>
  <c r="B40" i="16"/>
  <c r="K29" i="13"/>
  <c r="B23" i="16"/>
  <c r="K27" i="13"/>
  <c r="B21" i="16"/>
  <c r="K41" i="13"/>
  <c r="B35" i="16"/>
  <c r="K16" i="13"/>
  <c r="B10" i="16"/>
  <c r="K20" i="13"/>
  <c r="B14" i="16"/>
  <c r="K36" i="13"/>
  <c r="B30" i="16"/>
  <c r="K18" i="13"/>
  <c r="B12" i="16"/>
  <c r="K40" i="13"/>
  <c r="B34" i="16"/>
  <c r="K37" i="13"/>
  <c r="B31" i="16"/>
  <c r="K31" i="13"/>
  <c r="B25" i="16"/>
  <c r="K9" i="13"/>
  <c r="B3" i="16"/>
  <c r="A3" i="17" s="1"/>
  <c r="K35" i="13"/>
  <c r="B29" i="16"/>
  <c r="K39" i="13"/>
  <c r="B33" i="16"/>
  <c r="K33" i="13"/>
  <c r="B27" i="16"/>
  <c r="K22" i="13"/>
  <c r="B16" i="16"/>
  <c r="K30" i="13"/>
  <c r="B24" i="16"/>
  <c r="A12" i="17" l="1"/>
  <c r="C12" i="16"/>
  <c r="A31" i="17"/>
  <c r="C31" i="16"/>
  <c r="A5" i="17"/>
  <c r="C5" i="16"/>
  <c r="C42" i="16"/>
  <c r="A41" i="17"/>
  <c r="C41" i="16"/>
  <c r="A11" i="17"/>
  <c r="C11" i="16"/>
  <c r="A24" i="17"/>
  <c r="C24" i="16"/>
  <c r="A22" i="17"/>
  <c r="C22" i="16"/>
  <c r="A32" i="17"/>
  <c r="C32" i="16"/>
  <c r="A37" i="17"/>
  <c r="C37" i="16"/>
  <c r="C29" i="16"/>
  <c r="A29" i="17"/>
  <c r="A8" i="17"/>
  <c r="C8" i="16"/>
  <c r="A4" i="17"/>
  <c r="C4" i="16"/>
  <c r="A38" i="17"/>
  <c r="C38" i="16"/>
  <c r="A35" i="17"/>
  <c r="C35" i="16"/>
  <c r="A25" i="17"/>
  <c r="C25" i="16"/>
  <c r="N48" i="13"/>
  <c r="A18" i="17"/>
  <c r="C18" i="16"/>
  <c r="A20" i="17"/>
  <c r="C20" i="16"/>
  <c r="A23" i="17"/>
  <c r="C23" i="16"/>
  <c r="A34" i="17"/>
  <c r="C34" i="16"/>
  <c r="C30" i="16"/>
  <c r="A30" i="17"/>
  <c r="A10" i="17"/>
  <c r="C10" i="16"/>
  <c r="C40" i="16"/>
  <c r="A40" i="17"/>
  <c r="C15" i="16"/>
  <c r="A15" i="17"/>
  <c r="A13" i="17"/>
  <c r="C13" i="16"/>
  <c r="C26" i="16"/>
  <c r="A26" i="17"/>
  <c r="A9" i="17"/>
  <c r="C9" i="16"/>
  <c r="A19" i="17"/>
  <c r="C19" i="16"/>
  <c r="C14" i="16"/>
  <c r="A14" i="17"/>
  <c r="C33" i="16"/>
  <c r="A33" i="17"/>
  <c r="A21" i="17"/>
  <c r="C21" i="16"/>
  <c r="A7" i="17"/>
  <c r="C7" i="16"/>
  <c r="C39" i="16"/>
  <c r="A39" i="17"/>
  <c r="A36" i="17"/>
  <c r="C36" i="16"/>
  <c r="C6" i="16"/>
  <c r="A6" i="17"/>
  <c r="A28" i="17"/>
  <c r="C28" i="16"/>
  <c r="C17" i="16"/>
  <c r="A17" i="17"/>
  <c r="A27" i="17"/>
  <c r="C27" i="16"/>
  <c r="C16" i="16"/>
  <c r="A16" i="17"/>
  <c r="E6" i="15" l="1"/>
  <c r="C9" i="17"/>
  <c r="C41" i="17"/>
  <c r="C6" i="17"/>
  <c r="C22" i="17"/>
  <c r="C31" i="17"/>
  <c r="C21" i="17"/>
  <c r="F42" i="16"/>
  <c r="C42" i="17"/>
  <c r="C33" i="17"/>
  <c r="C26" i="17"/>
  <c r="C40" i="17"/>
  <c r="C23" i="17"/>
  <c r="C25" i="17"/>
  <c r="C37" i="17"/>
  <c r="C24" i="17"/>
  <c r="C5" i="17"/>
  <c r="C36" i="17"/>
  <c r="C13" i="17"/>
  <c r="C18" i="17"/>
  <c r="C20" i="17"/>
  <c r="C16" i="17"/>
  <c r="C10" i="17"/>
  <c r="C17" i="17"/>
  <c r="C39" i="17"/>
  <c r="C14" i="17"/>
  <c r="C35" i="17"/>
  <c r="C38" i="17"/>
  <c r="C8" i="17"/>
  <c r="C32" i="17"/>
  <c r="C11" i="17"/>
  <c r="C28" i="17"/>
  <c r="C7" i="17"/>
  <c r="C19" i="17"/>
  <c r="C27" i="17"/>
  <c r="C15" i="17"/>
  <c r="C30" i="17"/>
  <c r="C4" i="17"/>
  <c r="C12" i="17"/>
  <c r="C34" i="17"/>
  <c r="C29" i="17"/>
  <c r="D49" i="34" l="1"/>
  <c r="B49" i="34"/>
  <c r="B54" i="34" s="1"/>
  <c r="D33" i="34"/>
  <c r="D40" i="34"/>
  <c r="D7" i="34"/>
  <c r="C6" i="13" s="1"/>
  <c r="L6" i="13" s="1"/>
  <c r="D15" i="34"/>
  <c r="D5" i="34"/>
  <c r="D8" i="34" s="1"/>
  <c r="B55" i="34" l="1"/>
  <c r="D11" i="34"/>
  <c r="C10" i="13" s="1"/>
  <c r="D48" i="34"/>
  <c r="D18" i="34"/>
  <c r="C17" i="13" s="1"/>
  <c r="D17" i="13" s="1"/>
  <c r="B11" i="2" s="1"/>
  <c r="M6" i="13"/>
  <c r="AE6" i="13"/>
  <c r="AD10" i="13"/>
  <c r="L10" i="13"/>
  <c r="B4" i="24"/>
  <c r="D10" i="13"/>
  <c r="B4" i="2" s="1"/>
  <c r="C47" i="13"/>
  <c r="C39" i="13"/>
  <c r="C14" i="13"/>
  <c r="C32" i="13"/>
  <c r="AD6" i="13"/>
  <c r="D6" i="13"/>
  <c r="D12" i="34"/>
  <c r="D44" i="34"/>
  <c r="D37" i="34"/>
  <c r="D22" i="34"/>
  <c r="D42" i="34"/>
  <c r="D38" i="34"/>
  <c r="D24" i="34"/>
  <c r="D47" i="34"/>
  <c r="D30" i="34"/>
  <c r="D41" i="34"/>
  <c r="D31" i="34"/>
  <c r="D14" i="34"/>
  <c r="D19" i="34"/>
  <c r="D28" i="34"/>
  <c r="D34" i="34"/>
  <c r="D21" i="34"/>
  <c r="D29" i="34"/>
  <c r="D25" i="34"/>
  <c r="D13" i="34"/>
  <c r="D46" i="34"/>
  <c r="D36" i="34"/>
  <c r="D39" i="34"/>
  <c r="D20" i="34"/>
  <c r="D9" i="34"/>
  <c r="D35" i="34"/>
  <c r="D23" i="34"/>
  <c r="D32" i="34"/>
  <c r="D27" i="34"/>
  <c r="D45" i="34"/>
  <c r="D16" i="34"/>
  <c r="D26" i="34"/>
  <c r="C7" i="13"/>
  <c r="D10" i="34"/>
  <c r="D43" i="34"/>
  <c r="D17" i="34"/>
  <c r="D55" i="34"/>
  <c r="D54" i="34"/>
  <c r="B11" i="24" l="1"/>
  <c r="A11" i="25" s="1"/>
  <c r="AD17" i="13"/>
  <c r="L17" i="13"/>
  <c r="M17" i="13" s="1"/>
  <c r="C15" i="13"/>
  <c r="C8" i="13"/>
  <c r="C20" i="13"/>
  <c r="D52" i="34"/>
  <c r="C46" i="13"/>
  <c r="C44" i="13"/>
  <c r="C33" i="13"/>
  <c r="C23" i="13"/>
  <c r="C16" i="13"/>
  <c r="C38" i="13"/>
  <c r="C27" i="13"/>
  <c r="C37" i="13"/>
  <c r="D47" i="13"/>
  <c r="B41" i="2" s="1"/>
  <c r="L47" i="13"/>
  <c r="F48" i="13"/>
  <c r="G6" i="34" s="1"/>
  <c r="AD47" i="13"/>
  <c r="B41" i="24"/>
  <c r="A4" i="25"/>
  <c r="M10" i="13"/>
  <c r="AE10" i="13"/>
  <c r="C19" i="13"/>
  <c r="D53" i="34"/>
  <c r="AD7" i="13"/>
  <c r="L7" i="13"/>
  <c r="D7" i="13"/>
  <c r="D14" i="13"/>
  <c r="B8" i="2" s="1"/>
  <c r="B8" i="24"/>
  <c r="AD14" i="13"/>
  <c r="L14" i="13"/>
  <c r="A4" i="8"/>
  <c r="C26" i="13"/>
  <c r="C42" i="13"/>
  <c r="C35" i="13"/>
  <c r="C18" i="13"/>
  <c r="C41" i="13"/>
  <c r="D32" i="13"/>
  <c r="B26" i="2" s="1"/>
  <c r="AD32" i="13"/>
  <c r="L32" i="13"/>
  <c r="B26" i="24"/>
  <c r="C9" i="13"/>
  <c r="C31" i="13"/>
  <c r="C45" i="13"/>
  <c r="C13" i="13"/>
  <c r="C21" i="13"/>
  <c r="C22" i="13"/>
  <c r="C12" i="13"/>
  <c r="C30" i="13"/>
  <c r="C36" i="13"/>
  <c r="C34" i="13"/>
  <c r="C24" i="13"/>
  <c r="C40" i="13"/>
  <c r="C43" i="13"/>
  <c r="C25" i="13"/>
  <c r="C28" i="13"/>
  <c r="C29" i="13"/>
  <c r="C11" i="13"/>
  <c r="D39" i="13"/>
  <c r="B33" i="2" s="1"/>
  <c r="B33" i="24"/>
  <c r="L39" i="13"/>
  <c r="AD39" i="13"/>
  <c r="A11" i="8"/>
  <c r="AE17" i="13" l="1"/>
  <c r="A8" i="8"/>
  <c r="O48" i="13"/>
  <c r="P48" i="13" s="1"/>
  <c r="G48" i="13"/>
  <c r="F42" i="2" s="1"/>
  <c r="D20" i="13"/>
  <c r="B14" i="2" s="1"/>
  <c r="L20" i="13"/>
  <c r="AD20" i="13"/>
  <c r="B14" i="24"/>
  <c r="D21" i="13"/>
  <c r="B15" i="2" s="1"/>
  <c r="L21" i="13"/>
  <c r="AD21" i="13"/>
  <c r="B15" i="24"/>
  <c r="L9" i="13"/>
  <c r="D9" i="13"/>
  <c r="B3" i="2" s="1"/>
  <c r="B3" i="24"/>
  <c r="AD9" i="13"/>
  <c r="B12" i="23" s="1"/>
  <c r="M47" i="13"/>
  <c r="AE47" i="13"/>
  <c r="D27" i="13"/>
  <c r="B21" i="2" s="1"/>
  <c r="B21" i="24"/>
  <c r="AD27" i="13"/>
  <c r="L27" i="13"/>
  <c r="D33" i="13"/>
  <c r="B27" i="2" s="1"/>
  <c r="B27" i="24"/>
  <c r="L33" i="13"/>
  <c r="AD33" i="13"/>
  <c r="A41" i="25"/>
  <c r="C42" i="24"/>
  <c r="A8" i="25"/>
  <c r="D23" i="13"/>
  <c r="B17" i="2" s="1"/>
  <c r="L23" i="13"/>
  <c r="AD23" i="13"/>
  <c r="B17" i="24"/>
  <c r="AE39" i="13"/>
  <c r="M39" i="13"/>
  <c r="D43" i="13"/>
  <c r="B37" i="2" s="1"/>
  <c r="L43" i="13"/>
  <c r="AD43" i="13"/>
  <c r="B37" i="24"/>
  <c r="D41" i="13"/>
  <c r="B35" i="2" s="1"/>
  <c r="AD41" i="13"/>
  <c r="B35" i="24"/>
  <c r="L41" i="13"/>
  <c r="AE7" i="13"/>
  <c r="M7" i="13"/>
  <c r="C42" i="2"/>
  <c r="A41" i="8"/>
  <c r="L8" i="13"/>
  <c r="D8" i="13"/>
  <c r="AD8" i="13"/>
  <c r="D29" i="13"/>
  <c r="B23" i="2" s="1"/>
  <c r="L29" i="13"/>
  <c r="B23" i="24"/>
  <c r="AD29" i="13"/>
  <c r="D34" i="13"/>
  <c r="B28" i="2" s="1"/>
  <c r="L34" i="13"/>
  <c r="AD34" i="13"/>
  <c r="B28" i="24"/>
  <c r="D42" i="13"/>
  <c r="B36" i="2" s="1"/>
  <c r="B36" i="24"/>
  <c r="L42" i="13"/>
  <c r="AD42" i="13"/>
  <c r="D19" i="13"/>
  <c r="B13" i="2" s="1"/>
  <c r="L19" i="13"/>
  <c r="B13" i="24"/>
  <c r="AD19" i="13"/>
  <c r="D31" i="13"/>
  <c r="B25" i="2" s="1"/>
  <c r="C26" i="2" s="1"/>
  <c r="B25" i="24"/>
  <c r="C26" i="24" s="1"/>
  <c r="L31" i="13"/>
  <c r="AD31" i="13"/>
  <c r="B22" i="24"/>
  <c r="D28" i="13"/>
  <c r="B22" i="2" s="1"/>
  <c r="AD28" i="13"/>
  <c r="L28" i="13"/>
  <c r="D36" i="13"/>
  <c r="B30" i="2" s="1"/>
  <c r="L36" i="13"/>
  <c r="B30" i="24"/>
  <c r="AD36" i="13"/>
  <c r="D26" i="13"/>
  <c r="B20" i="2" s="1"/>
  <c r="L26" i="13"/>
  <c r="B20" i="24"/>
  <c r="AD26" i="13"/>
  <c r="D25" i="13"/>
  <c r="B19" i="2" s="1"/>
  <c r="B19" i="24"/>
  <c r="L25" i="13"/>
  <c r="AD25" i="13"/>
  <c r="D13" i="13"/>
  <c r="B7" i="2" s="1"/>
  <c r="AD13" i="13"/>
  <c r="L13" i="13"/>
  <c r="B7" i="24"/>
  <c r="C8" i="24" s="1"/>
  <c r="D38" i="13"/>
  <c r="B32" i="2" s="1"/>
  <c r="C33" i="2" s="1"/>
  <c r="B32" i="24"/>
  <c r="C33" i="24" s="1"/>
  <c r="L38" i="13"/>
  <c r="AD38" i="13"/>
  <c r="D44" i="13"/>
  <c r="B38" i="2" s="1"/>
  <c r="L44" i="13"/>
  <c r="AD44" i="13"/>
  <c r="B38" i="24"/>
  <c r="D22" i="13"/>
  <c r="B16" i="2" s="1"/>
  <c r="B16" i="24"/>
  <c r="AD22" i="13"/>
  <c r="L22" i="13"/>
  <c r="A26" i="8"/>
  <c r="D37" i="13"/>
  <c r="B31" i="2" s="1"/>
  <c r="L37" i="13"/>
  <c r="B31" i="24"/>
  <c r="AD37" i="13"/>
  <c r="A33" i="8"/>
  <c r="D11" i="13"/>
  <c r="B5" i="2" s="1"/>
  <c r="B5" i="24"/>
  <c r="L11" i="13"/>
  <c r="AD11" i="13"/>
  <c r="A26" i="25"/>
  <c r="D35" i="13"/>
  <c r="B29" i="2" s="1"/>
  <c r="AD35" i="13"/>
  <c r="B29" i="24"/>
  <c r="L35" i="13"/>
  <c r="D15" i="13"/>
  <c r="B9" i="2" s="1"/>
  <c r="L15" i="13"/>
  <c r="B9" i="24"/>
  <c r="AD15" i="13"/>
  <c r="A33" i="25"/>
  <c r="D40" i="13"/>
  <c r="B34" i="2" s="1"/>
  <c r="L40" i="13"/>
  <c r="B34" i="24"/>
  <c r="AD40" i="13"/>
  <c r="AD30" i="13"/>
  <c r="D30" i="13"/>
  <c r="B24" i="2" s="1"/>
  <c r="B24" i="24"/>
  <c r="L30" i="13"/>
  <c r="D18" i="13"/>
  <c r="B12" i="2" s="1"/>
  <c r="B12" i="24"/>
  <c r="L18" i="13"/>
  <c r="AD18" i="13"/>
  <c r="D24" i="13"/>
  <c r="B18" i="2" s="1"/>
  <c r="B18" i="24"/>
  <c r="AD24" i="13"/>
  <c r="L24" i="13"/>
  <c r="D12" i="13"/>
  <c r="B6" i="2" s="1"/>
  <c r="B6" i="24"/>
  <c r="AD12" i="13"/>
  <c r="L12" i="13"/>
  <c r="D45" i="13"/>
  <c r="B39" i="2" s="1"/>
  <c r="B39" i="24"/>
  <c r="AD45" i="13"/>
  <c r="L45" i="13"/>
  <c r="AE32" i="13"/>
  <c r="M32" i="13"/>
  <c r="M14" i="13"/>
  <c r="AE14" i="13"/>
  <c r="D16" i="13"/>
  <c r="B10" i="2" s="1"/>
  <c r="B10" i="24"/>
  <c r="L16" i="13"/>
  <c r="AD16" i="13"/>
  <c r="B40" i="24"/>
  <c r="L46" i="13"/>
  <c r="AD46" i="13"/>
  <c r="D46" i="13"/>
  <c r="B40" i="2" s="1"/>
  <c r="C41" i="2" s="1"/>
  <c r="C41" i="8" l="1"/>
  <c r="C33" i="8"/>
  <c r="C26" i="25"/>
  <c r="A38" i="25"/>
  <c r="C38" i="24"/>
  <c r="A35" i="25"/>
  <c r="C35" i="24"/>
  <c r="A40" i="25"/>
  <c r="C40" i="24"/>
  <c r="AE46" i="13"/>
  <c r="M46" i="13"/>
  <c r="C10" i="2"/>
  <c r="A10" i="8"/>
  <c r="C11" i="2"/>
  <c r="M24" i="13"/>
  <c r="AE24" i="13"/>
  <c r="A12" i="25"/>
  <c r="C12" i="24"/>
  <c r="A34" i="25"/>
  <c r="C34" i="24"/>
  <c r="A9" i="25"/>
  <c r="C9" i="24"/>
  <c r="C31" i="2"/>
  <c r="A31" i="8"/>
  <c r="A32" i="25"/>
  <c r="C32" i="24"/>
  <c r="A20" i="25"/>
  <c r="C20" i="24"/>
  <c r="A30" i="8"/>
  <c r="C30" i="2"/>
  <c r="M41" i="13"/>
  <c r="AE41" i="13"/>
  <c r="A17" i="8"/>
  <c r="C17" i="2"/>
  <c r="A27" i="25"/>
  <c r="C27" i="24"/>
  <c r="A15" i="25"/>
  <c r="C15" i="24"/>
  <c r="AE15" i="13"/>
  <c r="M15" i="13"/>
  <c r="C7" i="2"/>
  <c r="A7" i="8"/>
  <c r="M28" i="13"/>
  <c r="AE28" i="13"/>
  <c r="M42" i="13"/>
  <c r="AE42" i="13"/>
  <c r="C8" i="25"/>
  <c r="C25" i="2"/>
  <c r="A25" i="8"/>
  <c r="A27" i="8"/>
  <c r="C27" i="2"/>
  <c r="M20" i="13"/>
  <c r="AE20" i="13"/>
  <c r="M12" i="13"/>
  <c r="AE12" i="13"/>
  <c r="A24" i="25"/>
  <c r="C24" i="24"/>
  <c r="A34" i="8"/>
  <c r="C34" i="2"/>
  <c r="M44" i="13"/>
  <c r="AE44" i="13"/>
  <c r="M25" i="13"/>
  <c r="AE25" i="13"/>
  <c r="A20" i="8"/>
  <c r="C20" i="2"/>
  <c r="A23" i="25"/>
  <c r="C23" i="24"/>
  <c r="C42" i="25"/>
  <c r="F42" i="24"/>
  <c r="B12" i="15"/>
  <c r="I3" i="16" s="1"/>
  <c r="I3" i="24"/>
  <c r="AE21" i="13"/>
  <c r="M21" i="13"/>
  <c r="A14" i="8"/>
  <c r="C14" i="2"/>
  <c r="C5" i="2"/>
  <c r="A5" i="8"/>
  <c r="A28" i="8"/>
  <c r="C28" i="2"/>
  <c r="A9" i="8"/>
  <c r="C9" i="2"/>
  <c r="A36" i="25"/>
  <c r="C36" i="24"/>
  <c r="A18" i="8"/>
  <c r="C18" i="2"/>
  <c r="C33" i="25"/>
  <c r="M22" i="13"/>
  <c r="AE22" i="13"/>
  <c r="A38" i="8"/>
  <c r="C38" i="2"/>
  <c r="A19" i="25"/>
  <c r="C19" i="24"/>
  <c r="A22" i="8"/>
  <c r="C22" i="2"/>
  <c r="A13" i="25"/>
  <c r="C13" i="24"/>
  <c r="A36" i="8"/>
  <c r="C36" i="2"/>
  <c r="A35" i="8"/>
  <c r="C35" i="2"/>
  <c r="A17" i="25"/>
  <c r="C17" i="24"/>
  <c r="C41" i="24"/>
  <c r="M27" i="13"/>
  <c r="AE27" i="13"/>
  <c r="A3" i="25"/>
  <c r="C4" i="24"/>
  <c r="A15" i="8"/>
  <c r="C15" i="2"/>
  <c r="C12" i="2"/>
  <c r="A12" i="8"/>
  <c r="A25" i="25"/>
  <c r="C25" i="24"/>
  <c r="A18" i="25"/>
  <c r="C18" i="24"/>
  <c r="M8" i="13"/>
  <c r="AE8" i="13"/>
  <c r="A28" i="25"/>
  <c r="C28" i="24"/>
  <c r="C42" i="8"/>
  <c r="A3" i="8"/>
  <c r="C4" i="2"/>
  <c r="M40" i="13"/>
  <c r="AE40" i="13"/>
  <c r="C26" i="8"/>
  <c r="A37" i="8"/>
  <c r="C37" i="2"/>
  <c r="A39" i="8"/>
  <c r="C39" i="2"/>
  <c r="M30" i="13"/>
  <c r="AE30" i="13"/>
  <c r="AE26" i="13"/>
  <c r="M26" i="13"/>
  <c r="A31" i="25"/>
  <c r="C31" i="24"/>
  <c r="A7" i="25"/>
  <c r="C7" i="24"/>
  <c r="M19" i="13"/>
  <c r="AE19" i="13"/>
  <c r="M29" i="13"/>
  <c r="AE29" i="13"/>
  <c r="A40" i="8"/>
  <c r="C40" i="2"/>
  <c r="M45" i="13"/>
  <c r="AE45" i="13"/>
  <c r="A6" i="25"/>
  <c r="C6" i="24"/>
  <c r="M18" i="13"/>
  <c r="AE18" i="13"/>
  <c r="M35" i="13"/>
  <c r="AE35" i="13"/>
  <c r="M11" i="13"/>
  <c r="AE11" i="13"/>
  <c r="M37" i="13"/>
  <c r="AE37" i="13"/>
  <c r="A16" i="25"/>
  <c r="C16" i="24"/>
  <c r="M13" i="13"/>
  <c r="AE13" i="13"/>
  <c r="A19" i="8"/>
  <c r="C19" i="2"/>
  <c r="A30" i="25"/>
  <c r="C30" i="24"/>
  <c r="A23" i="8"/>
  <c r="C23" i="2"/>
  <c r="AE23" i="13"/>
  <c r="M23" i="13"/>
  <c r="A21" i="25"/>
  <c r="C21" i="24"/>
  <c r="C8" i="2"/>
  <c r="A39" i="25"/>
  <c r="C39" i="24"/>
  <c r="C32" i="2"/>
  <c r="A32" i="8"/>
  <c r="C29" i="2"/>
  <c r="A29" i="8"/>
  <c r="A24" i="8"/>
  <c r="C24" i="2"/>
  <c r="A22" i="25"/>
  <c r="C22" i="24"/>
  <c r="A37" i="25"/>
  <c r="C37" i="24"/>
  <c r="M16" i="13"/>
  <c r="AE16" i="13"/>
  <c r="A10" i="25"/>
  <c r="C10" i="24"/>
  <c r="C11" i="24"/>
  <c r="A6" i="8"/>
  <c r="C6" i="2"/>
  <c r="A29" i="25"/>
  <c r="C29" i="24"/>
  <c r="A5" i="25"/>
  <c r="C5" i="24"/>
  <c r="A16" i="8"/>
  <c r="C16" i="2"/>
  <c r="M38" i="13"/>
  <c r="AE38" i="13"/>
  <c r="AE36" i="13"/>
  <c r="M36" i="13"/>
  <c r="M31" i="13"/>
  <c r="AE31" i="13"/>
  <c r="C13" i="2"/>
  <c r="A13" i="8"/>
  <c r="M34" i="13"/>
  <c r="AE34" i="13"/>
  <c r="AE43" i="13"/>
  <c r="M43" i="13"/>
  <c r="AE33" i="13"/>
  <c r="M33" i="13"/>
  <c r="C21" i="2"/>
  <c r="A21" i="8"/>
  <c r="AE9" i="13"/>
  <c r="M9" i="13"/>
  <c r="A14" i="25"/>
  <c r="C14" i="24"/>
  <c r="E6" i="7" l="1"/>
  <c r="C29" i="25"/>
  <c r="C31" i="25"/>
  <c r="C14" i="25"/>
  <c r="C34" i="25"/>
  <c r="C28" i="25"/>
  <c r="C13" i="25"/>
  <c r="H3" i="17"/>
  <c r="C6" i="8"/>
  <c r="C15" i="8"/>
  <c r="C15" i="25"/>
  <c r="C20" i="25"/>
  <c r="C12" i="25"/>
  <c r="C10" i="8"/>
  <c r="C41" i="25"/>
  <c r="C28" i="8"/>
  <c r="C13" i="8"/>
  <c r="C25" i="25"/>
  <c r="C35" i="8"/>
  <c r="C22" i="8"/>
  <c r="C38" i="8"/>
  <c r="C5" i="8"/>
  <c r="C7" i="8"/>
  <c r="C31" i="8"/>
  <c r="C19" i="8"/>
  <c r="C6" i="25"/>
  <c r="C8" i="8"/>
  <c r="C17" i="25"/>
  <c r="C29" i="8"/>
  <c r="C22" i="25"/>
  <c r="C5" i="25"/>
  <c r="C11" i="25"/>
  <c r="C21" i="25"/>
  <c r="C30" i="25"/>
  <c r="C16" i="25"/>
  <c r="C40" i="8"/>
  <c r="C7" i="25"/>
  <c r="C39" i="8"/>
  <c r="C4" i="25"/>
  <c r="C18" i="8"/>
  <c r="C36" i="25"/>
  <c r="C14" i="8"/>
  <c r="C27" i="25"/>
  <c r="C36" i="8"/>
  <c r="C12" i="8"/>
  <c r="H3" i="25"/>
  <c r="C25" i="8"/>
  <c r="C30" i="8"/>
  <c r="C11" i="8"/>
  <c r="C37" i="25"/>
  <c r="C24" i="25"/>
  <c r="C38" i="25"/>
  <c r="C21" i="8"/>
  <c r="C10" i="25"/>
  <c r="C4" i="8"/>
  <c r="E6" i="23"/>
  <c r="C27" i="8"/>
  <c r="C40" i="25"/>
  <c r="C9" i="8"/>
  <c r="C17" i="8"/>
  <c r="C32" i="25"/>
  <c r="C9" i="25"/>
  <c r="C32" i="8"/>
  <c r="C24" i="8"/>
  <c r="C18" i="25"/>
  <c r="C20" i="8"/>
  <c r="C34" i="8"/>
  <c r="C35" i="25"/>
  <c r="C37" i="8"/>
  <c r="C39" i="25"/>
  <c r="C19" i="25"/>
  <c r="C16" i="8"/>
  <c r="C23" i="8"/>
  <c r="C23" i="25"/>
  <c r="G6" i="15" l="1"/>
  <c r="C6" i="15" s="1"/>
  <c r="J72" i="16" s="1"/>
  <c r="C6" i="7"/>
  <c r="J4" i="2" s="1"/>
  <c r="J185" i="16"/>
  <c r="J185" i="17" s="1"/>
  <c r="P185" i="17" s="1"/>
  <c r="G6" i="23"/>
  <c r="C6" i="23" s="1"/>
  <c r="J20" i="24" s="1"/>
  <c r="J176" i="16"/>
  <c r="J176" i="17" s="1"/>
  <c r="P176" i="17" s="1"/>
  <c r="J90" i="16"/>
  <c r="J168" i="16"/>
  <c r="J152" i="16"/>
  <c r="J182" i="16"/>
  <c r="J182" i="17" s="1"/>
  <c r="P182" i="17" s="1"/>
  <c r="J177" i="16"/>
  <c r="J177" i="17" s="1"/>
  <c r="P177" i="17" s="1"/>
  <c r="J13" i="16"/>
  <c r="J146" i="16"/>
  <c r="J154" i="16"/>
  <c r="J23" i="16"/>
  <c r="J165" i="16"/>
  <c r="J159" i="16"/>
  <c r="J54" i="16"/>
  <c r="J157" i="16"/>
  <c r="J142" i="16"/>
  <c r="J94" i="16"/>
  <c r="J129" i="16"/>
  <c r="J66" i="16"/>
  <c r="J62" i="16"/>
  <c r="J143" i="16"/>
  <c r="J135" i="16"/>
  <c r="J162" i="16"/>
  <c r="J44" i="16"/>
  <c r="J148" i="16"/>
  <c r="J108" i="16"/>
  <c r="J180" i="16"/>
  <c r="J180" i="17" s="1"/>
  <c r="P180" i="17" s="1"/>
  <c r="J42" i="16"/>
  <c r="J166" i="16"/>
  <c r="J24" i="16"/>
  <c r="J151" i="16"/>
  <c r="J53" i="16"/>
  <c r="J156" i="16"/>
  <c r="J117" i="16"/>
  <c r="J132" i="16"/>
  <c r="J29" i="16"/>
  <c r="J63" i="16"/>
  <c r="J80" i="16"/>
  <c r="J87" i="16"/>
  <c r="J155" i="16"/>
  <c r="J11" i="16"/>
  <c r="J137" i="16"/>
  <c r="J51" i="16"/>
  <c r="J139" i="16"/>
  <c r="J115" i="16"/>
  <c r="J172" i="16"/>
  <c r="J172" i="17" s="1"/>
  <c r="P172" i="17" s="1"/>
  <c r="J76" i="16"/>
  <c r="J89" i="16"/>
  <c r="J96" i="16"/>
  <c r="J40" i="16"/>
  <c r="J145" i="16"/>
  <c r="J30" i="16"/>
  <c r="J5" i="16"/>
  <c r="J84" i="16"/>
  <c r="J138" i="16"/>
  <c r="J73" i="16"/>
  <c r="J93" i="16"/>
  <c r="J140" i="16"/>
  <c r="J20" i="16"/>
  <c r="J35" i="16"/>
  <c r="J47" i="16"/>
  <c r="J85" i="16"/>
  <c r="J43" i="16"/>
  <c r="J36" i="16"/>
  <c r="J83" i="16"/>
  <c r="J111" i="16"/>
  <c r="J126" i="16"/>
  <c r="J123" i="16"/>
  <c r="J14" i="16"/>
  <c r="J50" i="16"/>
  <c r="J4" i="16"/>
  <c r="J101" i="16"/>
  <c r="J28" i="16"/>
  <c r="J95" i="16"/>
  <c r="J174" i="16"/>
  <c r="J174" i="17" s="1"/>
  <c r="P174" i="17" s="1"/>
  <c r="J161" i="16"/>
  <c r="J173" i="16"/>
  <c r="J173" i="17" s="1"/>
  <c r="P173" i="17" s="1"/>
  <c r="J16" i="16"/>
  <c r="J37" i="16"/>
  <c r="J21" i="16"/>
  <c r="J33" i="16"/>
  <c r="J144" i="16"/>
  <c r="J164" i="16"/>
  <c r="J52" i="16"/>
  <c r="J98" i="16"/>
  <c r="J65" i="16"/>
  <c r="J169" i="16"/>
  <c r="J74" i="16"/>
  <c r="J55" i="16"/>
  <c r="J124" i="16"/>
  <c r="J107" i="16"/>
  <c r="J120" i="16"/>
  <c r="J69" i="16"/>
  <c r="J127" i="16"/>
  <c r="J34" i="16"/>
  <c r="J86" i="16"/>
  <c r="J130" i="16"/>
  <c r="J68" i="16"/>
  <c r="J116" i="16"/>
  <c r="J133" i="16"/>
  <c r="J147" i="16"/>
  <c r="J39" i="16"/>
  <c r="J92" i="16"/>
  <c r="J49" i="16"/>
  <c r="J38" i="16"/>
  <c r="J113" i="16"/>
  <c r="J61" i="16"/>
  <c r="J160" i="16"/>
  <c r="J15" i="16"/>
  <c r="J100" i="16"/>
  <c r="J171" i="16"/>
  <c r="J171" i="17" s="1"/>
  <c r="P171" i="17" s="1"/>
  <c r="J121" i="16"/>
  <c r="J71" i="16"/>
  <c r="J131" i="16"/>
  <c r="J17" i="16"/>
  <c r="J167" i="16"/>
  <c r="J31" i="16"/>
  <c r="J19" i="16"/>
  <c r="J12" i="16"/>
  <c r="J149" i="16"/>
  <c r="J99" i="16"/>
  <c r="J105" i="16"/>
  <c r="J153" i="16"/>
  <c r="J178" i="16"/>
  <c r="J178" i="17" s="1"/>
  <c r="P178" i="17" s="1"/>
  <c r="J170" i="16"/>
  <c r="J170" i="17" s="1"/>
  <c r="P170" i="17" s="1"/>
  <c r="J64" i="16"/>
  <c r="J6" i="16"/>
  <c r="J10" i="16"/>
  <c r="J158" i="16"/>
  <c r="J136" i="16"/>
  <c r="J150" i="16"/>
  <c r="J18" i="16"/>
  <c r="J134" i="16"/>
  <c r="J67" i="16"/>
  <c r="J114" i="16"/>
  <c r="J32" i="16"/>
  <c r="J7" i="16"/>
  <c r="C15" i="14"/>
  <c r="C3" i="14"/>
  <c r="R3" i="17"/>
  <c r="F5" i="47" s="1"/>
  <c r="C15" i="22"/>
  <c r="C11" i="22" s="1"/>
  <c r="R3" i="25"/>
  <c r="F5" i="48" s="1"/>
  <c r="C3" i="22"/>
  <c r="J181" i="16" l="1"/>
  <c r="J181" i="17" s="1"/>
  <c r="P181" i="17" s="1"/>
  <c r="J184" i="16"/>
  <c r="J184" i="17" s="1"/>
  <c r="P184" i="17" s="1"/>
  <c r="J183" i="16"/>
  <c r="J183" i="17" s="1"/>
  <c r="P183" i="17" s="1"/>
  <c r="J163" i="16"/>
  <c r="J122" i="16"/>
  <c r="J48" i="16"/>
  <c r="J91" i="16"/>
  <c r="J81" i="16"/>
  <c r="J81" i="17" s="1"/>
  <c r="P81" i="17" s="1"/>
  <c r="J112" i="16"/>
  <c r="J112" i="17" s="1"/>
  <c r="P112" i="17" s="1"/>
  <c r="J59" i="16"/>
  <c r="J59" i="17" s="1"/>
  <c r="P59" i="17" s="1"/>
  <c r="J78" i="16"/>
  <c r="J78" i="17" s="1"/>
  <c r="P78" i="17" s="1"/>
  <c r="J128" i="16"/>
  <c r="J128" i="17" s="1"/>
  <c r="P128" i="17" s="1"/>
  <c r="J56" i="16"/>
  <c r="J82" i="16"/>
  <c r="J110" i="16"/>
  <c r="J110" i="17" s="1"/>
  <c r="P110" i="17" s="1"/>
  <c r="J26" i="16"/>
  <c r="J26" i="17" s="1"/>
  <c r="P26" i="17" s="1"/>
  <c r="J125" i="16"/>
  <c r="J125" i="17" s="1"/>
  <c r="P125" i="17" s="1"/>
  <c r="J79" i="16"/>
  <c r="J79" i="17" s="1"/>
  <c r="P79" i="17" s="1"/>
  <c r="J102" i="16"/>
  <c r="J27" i="16"/>
  <c r="J27" i="17" s="1"/>
  <c r="P27" i="17" s="1"/>
  <c r="J75" i="16"/>
  <c r="J70" i="16"/>
  <c r="J9" i="16"/>
  <c r="J9" i="17" s="1"/>
  <c r="P9" i="17" s="1"/>
  <c r="J104" i="16"/>
  <c r="J77" i="16"/>
  <c r="J77" i="17" s="1"/>
  <c r="P77" i="17" s="1"/>
  <c r="J118" i="16"/>
  <c r="J118" i="17" s="1"/>
  <c r="P118" i="17" s="1"/>
  <c r="J41" i="16"/>
  <c r="J41" i="17" s="1"/>
  <c r="P41" i="17" s="1"/>
  <c r="J119" i="16"/>
  <c r="J119" i="17" s="1"/>
  <c r="P119" i="17" s="1"/>
  <c r="J45" i="16"/>
  <c r="J109" i="16"/>
  <c r="J25" i="16"/>
  <c r="J25" i="17" s="1"/>
  <c r="P25" i="17" s="1"/>
  <c r="J60" i="16"/>
  <c r="J60" i="17" s="1"/>
  <c r="P60" i="17" s="1"/>
  <c r="J106" i="16"/>
  <c r="J106" i="17" s="1"/>
  <c r="P106" i="17" s="1"/>
  <c r="J8" i="16"/>
  <c r="J8" i="17" s="1"/>
  <c r="P8" i="17" s="1"/>
  <c r="J97" i="16"/>
  <c r="J97" i="17" s="1"/>
  <c r="P97" i="17" s="1"/>
  <c r="J88" i="16"/>
  <c r="J88" i="17" s="1"/>
  <c r="P88" i="17" s="1"/>
  <c r="J58" i="16"/>
  <c r="J57" i="16"/>
  <c r="J57" i="17" s="1"/>
  <c r="P57" i="17" s="1"/>
  <c r="J22" i="16"/>
  <c r="J22" i="17" s="1"/>
  <c r="P22" i="17" s="1"/>
  <c r="J46" i="16"/>
  <c r="J46" i="17" s="1"/>
  <c r="P46" i="17" s="1"/>
  <c r="J103" i="16"/>
  <c r="J103" i="17" s="1"/>
  <c r="P103" i="17" s="1"/>
  <c r="J175" i="16"/>
  <c r="J175" i="17" s="1"/>
  <c r="P175" i="17" s="1"/>
  <c r="J141" i="16"/>
  <c r="J141" i="17" s="1"/>
  <c r="P141" i="17" s="1"/>
  <c r="J179" i="16"/>
  <c r="J179" i="17" s="1"/>
  <c r="P179" i="17" s="1"/>
  <c r="J120" i="24"/>
  <c r="J101" i="24"/>
  <c r="J101" i="25" s="1"/>
  <c r="P101" i="25" s="1"/>
  <c r="J119" i="24"/>
  <c r="J119" i="25" s="1"/>
  <c r="P119" i="25" s="1"/>
  <c r="J52" i="24"/>
  <c r="J52" i="25" s="1"/>
  <c r="P52" i="25" s="1"/>
  <c r="J130" i="24"/>
  <c r="J130" i="25" s="1"/>
  <c r="P130" i="25" s="1"/>
  <c r="J8" i="24"/>
  <c r="J8" i="25" s="1"/>
  <c r="P8" i="25" s="1"/>
  <c r="J174" i="24"/>
  <c r="J174" i="25" s="1"/>
  <c r="P174" i="25" s="1"/>
  <c r="J123" i="24"/>
  <c r="J123" i="25" s="1"/>
  <c r="P123" i="25" s="1"/>
  <c r="J121" i="24"/>
  <c r="J121" i="25" s="1"/>
  <c r="P121" i="25" s="1"/>
  <c r="J144" i="24"/>
  <c r="J144" i="25" s="1"/>
  <c r="P144" i="25" s="1"/>
  <c r="J105" i="24"/>
  <c r="J105" i="25" s="1"/>
  <c r="P105" i="25" s="1"/>
  <c r="J116" i="24"/>
  <c r="J116" i="25" s="1"/>
  <c r="P116" i="25" s="1"/>
  <c r="J87" i="24"/>
  <c r="J87" i="25" s="1"/>
  <c r="P87" i="25" s="1"/>
  <c r="J122" i="24"/>
  <c r="J122" i="25" s="1"/>
  <c r="P122" i="25" s="1"/>
  <c r="J156" i="24"/>
  <c r="J16" i="24"/>
  <c r="J16" i="25" s="1"/>
  <c r="P16" i="25" s="1"/>
  <c r="J103" i="24"/>
  <c r="J103" i="25" s="1"/>
  <c r="P103" i="25" s="1"/>
  <c r="J43" i="24"/>
  <c r="J43" i="25" s="1"/>
  <c r="P43" i="25" s="1"/>
  <c r="J126" i="24"/>
  <c r="J126" i="25" s="1"/>
  <c r="P126" i="25" s="1"/>
  <c r="J175" i="24"/>
  <c r="J175" i="25" s="1"/>
  <c r="P175" i="25" s="1"/>
  <c r="J165" i="24"/>
  <c r="J165" i="25" s="1"/>
  <c r="P165" i="25" s="1"/>
  <c r="J49" i="24"/>
  <c r="J49" i="25" s="1"/>
  <c r="P49" i="25" s="1"/>
  <c r="J71" i="24"/>
  <c r="J71" i="25" s="1"/>
  <c r="P71" i="25" s="1"/>
  <c r="J140" i="24"/>
  <c r="J140" i="25" s="1"/>
  <c r="P140" i="25" s="1"/>
  <c r="J55" i="24"/>
  <c r="J55" i="25" s="1"/>
  <c r="P55" i="25" s="1"/>
  <c r="J117" i="24"/>
  <c r="J117" i="25" s="1"/>
  <c r="P117" i="25" s="1"/>
  <c r="J79" i="24"/>
  <c r="J79" i="25" s="1"/>
  <c r="P79" i="25" s="1"/>
  <c r="J182" i="24"/>
  <c r="J182" i="25" s="1"/>
  <c r="P182" i="25" s="1"/>
  <c r="J73" i="24"/>
  <c r="J73" i="25" s="1"/>
  <c r="P73" i="25" s="1"/>
  <c r="J179" i="24"/>
  <c r="J179" i="25" s="1"/>
  <c r="P179" i="25" s="1"/>
  <c r="J155" i="24"/>
  <c r="J155" i="25" s="1"/>
  <c r="P155" i="25" s="1"/>
  <c r="J91" i="24"/>
  <c r="J91" i="25" s="1"/>
  <c r="P91" i="25" s="1"/>
  <c r="J15" i="24"/>
  <c r="J15" i="25" s="1"/>
  <c r="P15" i="25" s="1"/>
  <c r="J18" i="24"/>
  <c r="J18" i="25" s="1"/>
  <c r="P18" i="25" s="1"/>
  <c r="J148" i="24"/>
  <c r="J108" i="24"/>
  <c r="J108" i="25" s="1"/>
  <c r="P108" i="25" s="1"/>
  <c r="J69" i="24"/>
  <c r="J69" i="25" s="1"/>
  <c r="P69" i="25" s="1"/>
  <c r="J70" i="24"/>
  <c r="J70" i="25" s="1"/>
  <c r="P70" i="25" s="1"/>
  <c r="J74" i="24"/>
  <c r="J74" i="25" s="1"/>
  <c r="P74" i="25" s="1"/>
  <c r="J152" i="24"/>
  <c r="J152" i="25" s="1"/>
  <c r="P152" i="25" s="1"/>
  <c r="J82" i="24"/>
  <c r="J82" i="25" s="1"/>
  <c r="P82" i="25" s="1"/>
  <c r="J104" i="24"/>
  <c r="J104" i="25" s="1"/>
  <c r="P104" i="25" s="1"/>
  <c r="J125" i="24"/>
  <c r="J125" i="25" s="1"/>
  <c r="P125" i="25" s="1"/>
  <c r="J21" i="24"/>
  <c r="J21" i="25" s="1"/>
  <c r="P21" i="25" s="1"/>
  <c r="J29" i="24"/>
  <c r="J29" i="25" s="1"/>
  <c r="P29" i="25" s="1"/>
  <c r="J37" i="24"/>
  <c r="J37" i="25" s="1"/>
  <c r="P37" i="25" s="1"/>
  <c r="J26" i="24"/>
  <c r="J26" i="25" s="1"/>
  <c r="P26" i="25" s="1"/>
  <c r="J83" i="24"/>
  <c r="J83" i="25" s="1"/>
  <c r="P83" i="25" s="1"/>
  <c r="J44" i="24"/>
  <c r="J44" i="25" s="1"/>
  <c r="P44" i="25" s="1"/>
  <c r="J54" i="24"/>
  <c r="J54" i="25" s="1"/>
  <c r="P54" i="25" s="1"/>
  <c r="J141" i="24"/>
  <c r="J141" i="25" s="1"/>
  <c r="P141" i="25" s="1"/>
  <c r="J131" i="24"/>
  <c r="J131" i="25" s="1"/>
  <c r="P131" i="25" s="1"/>
  <c r="J109" i="24"/>
  <c r="J109" i="25" s="1"/>
  <c r="P109" i="25" s="1"/>
  <c r="J142" i="24"/>
  <c r="J142" i="25" s="1"/>
  <c r="P142" i="25" s="1"/>
  <c r="J64" i="24"/>
  <c r="J64" i="25" s="1"/>
  <c r="P64" i="25" s="1"/>
  <c r="J12" i="24"/>
  <c r="J12" i="25" s="1"/>
  <c r="P12" i="25" s="1"/>
  <c r="J42" i="24"/>
  <c r="J42" i="25" s="1"/>
  <c r="P42" i="25" s="1"/>
  <c r="J113" i="24"/>
  <c r="J113" i="25" s="1"/>
  <c r="P113" i="25" s="1"/>
  <c r="J151" i="24"/>
  <c r="J151" i="25" s="1"/>
  <c r="P151" i="25" s="1"/>
  <c r="J153" i="24"/>
  <c r="J153" i="25" s="1"/>
  <c r="P153" i="25" s="1"/>
  <c r="J81" i="24"/>
  <c r="J81" i="25" s="1"/>
  <c r="P81" i="25" s="1"/>
  <c r="J57" i="24"/>
  <c r="J57" i="25" s="1"/>
  <c r="P57" i="25" s="1"/>
  <c r="J65" i="24"/>
  <c r="J65" i="25" s="1"/>
  <c r="P65" i="25" s="1"/>
  <c r="J161" i="24"/>
  <c r="J161" i="25" s="1"/>
  <c r="P161" i="25" s="1"/>
  <c r="J137" i="24"/>
  <c r="J137" i="25" s="1"/>
  <c r="P137" i="25" s="1"/>
  <c r="J62" i="24"/>
  <c r="J62" i="25" s="1"/>
  <c r="P62" i="25" s="1"/>
  <c r="J22" i="24"/>
  <c r="J22" i="25" s="1"/>
  <c r="P22" i="25" s="1"/>
  <c r="J33" i="24"/>
  <c r="J33" i="25" s="1"/>
  <c r="P33" i="25" s="1"/>
  <c r="J53" i="24"/>
  <c r="J53" i="25" s="1"/>
  <c r="P53" i="25" s="1"/>
  <c r="J124" i="24"/>
  <c r="J124" i="25" s="1"/>
  <c r="P124" i="25" s="1"/>
  <c r="J114" i="24"/>
  <c r="J114" i="25" s="1"/>
  <c r="P114" i="25" s="1"/>
  <c r="J176" i="24"/>
  <c r="J176" i="25" s="1"/>
  <c r="P176" i="25" s="1"/>
  <c r="J90" i="24"/>
  <c r="J90" i="25" s="1"/>
  <c r="P90" i="25" s="1"/>
  <c r="J72" i="24"/>
  <c r="J72" i="25" s="1"/>
  <c r="P72" i="25" s="1"/>
  <c r="J173" i="24"/>
  <c r="J173" i="25" s="1"/>
  <c r="P173" i="25" s="1"/>
  <c r="J167" i="24"/>
  <c r="J167" i="25" s="1"/>
  <c r="P167" i="25" s="1"/>
  <c r="J133" i="24"/>
  <c r="J133" i="25" s="1"/>
  <c r="P133" i="25" s="1"/>
  <c r="J110" i="24"/>
  <c r="J110" i="25" s="1"/>
  <c r="P110" i="25" s="1"/>
  <c r="J48" i="24"/>
  <c r="J48" i="25" s="1"/>
  <c r="P48" i="25" s="1"/>
  <c r="J46" i="24"/>
  <c r="J46" i="25" s="1"/>
  <c r="P46" i="25" s="1"/>
  <c r="J143" i="24"/>
  <c r="J143" i="25" s="1"/>
  <c r="P143" i="25" s="1"/>
  <c r="J145" i="24"/>
  <c r="J145" i="25" s="1"/>
  <c r="P145" i="25" s="1"/>
  <c r="J111" i="24"/>
  <c r="J111" i="25" s="1"/>
  <c r="P111" i="25" s="1"/>
  <c r="J127" i="24"/>
  <c r="J127" i="25" s="1"/>
  <c r="P127" i="25" s="1"/>
  <c r="J169" i="24"/>
  <c r="J169" i="25" s="1"/>
  <c r="P169" i="25" s="1"/>
  <c r="J85" i="24"/>
  <c r="J85" i="25" s="1"/>
  <c r="P85" i="25" s="1"/>
  <c r="J95" i="24"/>
  <c r="J95" i="25" s="1"/>
  <c r="P95" i="25" s="1"/>
  <c r="J34" i="24"/>
  <c r="J34" i="25" s="1"/>
  <c r="P34" i="25" s="1"/>
  <c r="J132" i="2"/>
  <c r="J132" i="8" s="1"/>
  <c r="P132" i="8" s="1"/>
  <c r="J183" i="2"/>
  <c r="J184" i="2"/>
  <c r="J185" i="2"/>
  <c r="J13" i="24"/>
  <c r="J13" i="25" s="1"/>
  <c r="P13" i="25" s="1"/>
  <c r="J185" i="24"/>
  <c r="J185" i="25" s="1"/>
  <c r="P185" i="25" s="1"/>
  <c r="J184" i="24"/>
  <c r="J184" i="25" s="1"/>
  <c r="P184" i="25" s="1"/>
  <c r="J183" i="24"/>
  <c r="J24" i="24"/>
  <c r="J24" i="25" s="1"/>
  <c r="P24" i="25" s="1"/>
  <c r="J63" i="24"/>
  <c r="J63" i="25" s="1"/>
  <c r="P63" i="25" s="1"/>
  <c r="J170" i="24"/>
  <c r="J170" i="25" s="1"/>
  <c r="P170" i="25" s="1"/>
  <c r="J19" i="24"/>
  <c r="J19" i="25" s="1"/>
  <c r="P19" i="25" s="1"/>
  <c r="J158" i="24"/>
  <c r="J158" i="25" s="1"/>
  <c r="P158" i="25" s="1"/>
  <c r="J132" i="24"/>
  <c r="J132" i="25" s="1"/>
  <c r="P132" i="25" s="1"/>
  <c r="J98" i="24"/>
  <c r="J98" i="25" s="1"/>
  <c r="P98" i="25" s="1"/>
  <c r="J102" i="24"/>
  <c r="J102" i="25" s="1"/>
  <c r="P102" i="25" s="1"/>
  <c r="J180" i="24"/>
  <c r="J180" i="25" s="1"/>
  <c r="P180" i="25" s="1"/>
  <c r="J162" i="24"/>
  <c r="J162" i="25" s="1"/>
  <c r="P162" i="25" s="1"/>
  <c r="J68" i="24"/>
  <c r="J68" i="25" s="1"/>
  <c r="P68" i="25" s="1"/>
  <c r="J150" i="24"/>
  <c r="J150" i="25" s="1"/>
  <c r="P150" i="25" s="1"/>
  <c r="J76" i="24"/>
  <c r="J76" i="25" s="1"/>
  <c r="P76" i="25" s="1"/>
  <c r="J178" i="24"/>
  <c r="J178" i="25" s="1"/>
  <c r="P178" i="25" s="1"/>
  <c r="J88" i="24"/>
  <c r="J88" i="25" s="1"/>
  <c r="P88" i="25" s="1"/>
  <c r="J159" i="24"/>
  <c r="J159" i="25" s="1"/>
  <c r="P159" i="25" s="1"/>
  <c r="J149" i="24"/>
  <c r="J149" i="25" s="1"/>
  <c r="P149" i="25" s="1"/>
  <c r="J7" i="24"/>
  <c r="J7" i="25" s="1"/>
  <c r="P7" i="25" s="1"/>
  <c r="J172" i="24"/>
  <c r="J172" i="25" s="1"/>
  <c r="P172" i="25" s="1"/>
  <c r="J99" i="24"/>
  <c r="J99" i="25" s="1"/>
  <c r="P99" i="25" s="1"/>
  <c r="J66" i="24"/>
  <c r="J66" i="25" s="1"/>
  <c r="P66" i="25" s="1"/>
  <c r="J89" i="24"/>
  <c r="J89" i="25" s="1"/>
  <c r="P89" i="25" s="1"/>
  <c r="J47" i="24"/>
  <c r="J47" i="25" s="1"/>
  <c r="P47" i="25" s="1"/>
  <c r="J106" i="24"/>
  <c r="J106" i="25" s="1"/>
  <c r="P106" i="25" s="1"/>
  <c r="J60" i="24"/>
  <c r="J60" i="25" s="1"/>
  <c r="P60" i="25" s="1"/>
  <c r="J160" i="24"/>
  <c r="J160" i="25" s="1"/>
  <c r="P160" i="25" s="1"/>
  <c r="J93" i="24"/>
  <c r="J93" i="25" s="1"/>
  <c r="P93" i="25" s="1"/>
  <c r="J100" i="24"/>
  <c r="J100" i="25" s="1"/>
  <c r="P100" i="25" s="1"/>
  <c r="J138" i="24"/>
  <c r="J138" i="25" s="1"/>
  <c r="P138" i="25" s="1"/>
  <c r="J157" i="24"/>
  <c r="J157" i="25" s="1"/>
  <c r="P157" i="25" s="1"/>
  <c r="J181" i="24"/>
  <c r="J181" i="25" s="1"/>
  <c r="P181" i="25" s="1"/>
  <c r="J35" i="24"/>
  <c r="J35" i="25" s="1"/>
  <c r="P35" i="25" s="1"/>
  <c r="J51" i="24"/>
  <c r="J51" i="25" s="1"/>
  <c r="P51" i="25" s="1"/>
  <c r="J94" i="24"/>
  <c r="J94" i="25" s="1"/>
  <c r="P94" i="25" s="1"/>
  <c r="J168" i="24"/>
  <c r="J168" i="25" s="1"/>
  <c r="P168" i="25" s="1"/>
  <c r="J86" i="24"/>
  <c r="J86" i="25" s="1"/>
  <c r="P86" i="25" s="1"/>
  <c r="J118" i="24"/>
  <c r="J118" i="25" s="1"/>
  <c r="P118" i="25" s="1"/>
  <c r="J154" i="24"/>
  <c r="J136" i="24"/>
  <c r="J136" i="25" s="1"/>
  <c r="P136" i="25" s="1"/>
  <c r="J75" i="24"/>
  <c r="J75" i="25" s="1"/>
  <c r="P75" i="25" s="1"/>
  <c r="J128" i="24"/>
  <c r="J128" i="25" s="1"/>
  <c r="P128" i="25" s="1"/>
  <c r="J164" i="24"/>
  <c r="J164" i="25" s="1"/>
  <c r="P164" i="25" s="1"/>
  <c r="J58" i="24"/>
  <c r="J58" i="25" s="1"/>
  <c r="P58" i="25" s="1"/>
  <c r="J50" i="24"/>
  <c r="J50" i="25" s="1"/>
  <c r="P50" i="25" s="1"/>
  <c r="J39" i="24"/>
  <c r="J39" i="25" s="1"/>
  <c r="P39" i="25" s="1"/>
  <c r="J6" i="24"/>
  <c r="J6" i="25" s="1"/>
  <c r="P6" i="25" s="1"/>
  <c r="J45" i="24"/>
  <c r="J45" i="25" s="1"/>
  <c r="P45" i="25" s="1"/>
  <c r="J78" i="24"/>
  <c r="J78" i="25" s="1"/>
  <c r="P78" i="25" s="1"/>
  <c r="J177" i="24"/>
  <c r="J177" i="25" s="1"/>
  <c r="P177" i="25" s="1"/>
  <c r="J112" i="24"/>
  <c r="J112" i="25" s="1"/>
  <c r="P112" i="25" s="1"/>
  <c r="J163" i="24"/>
  <c r="J163" i="25" s="1"/>
  <c r="P163" i="25" s="1"/>
  <c r="J92" i="24"/>
  <c r="J92" i="25" s="1"/>
  <c r="P92" i="25" s="1"/>
  <c r="J146" i="24"/>
  <c r="J146" i="25" s="1"/>
  <c r="P146" i="25" s="1"/>
  <c r="J61" i="24"/>
  <c r="J61" i="25" s="1"/>
  <c r="P61" i="25" s="1"/>
  <c r="J56" i="24"/>
  <c r="J56" i="25" s="1"/>
  <c r="P56" i="25" s="1"/>
  <c r="J107" i="24"/>
  <c r="J107" i="25" s="1"/>
  <c r="P107" i="25" s="1"/>
  <c r="J80" i="24"/>
  <c r="J80" i="25" s="1"/>
  <c r="P80" i="25" s="1"/>
  <c r="J139" i="24"/>
  <c r="J139" i="25" s="1"/>
  <c r="P139" i="25" s="1"/>
  <c r="J40" i="24"/>
  <c r="J40" i="25" s="1"/>
  <c r="P40" i="25" s="1"/>
  <c r="J30" i="24"/>
  <c r="J30" i="25" s="1"/>
  <c r="P30" i="25" s="1"/>
  <c r="J171" i="24"/>
  <c r="J171" i="25" s="1"/>
  <c r="P171" i="25" s="1"/>
  <c r="J115" i="24"/>
  <c r="J115" i="25" s="1"/>
  <c r="P115" i="25" s="1"/>
  <c r="J129" i="24"/>
  <c r="J129" i="25" s="1"/>
  <c r="P129" i="25" s="1"/>
  <c r="J135" i="24"/>
  <c r="J135" i="25" s="1"/>
  <c r="P135" i="25" s="1"/>
  <c r="J166" i="24"/>
  <c r="J166" i="25" s="1"/>
  <c r="P166" i="25" s="1"/>
  <c r="J96" i="24"/>
  <c r="J96" i="25" s="1"/>
  <c r="P96" i="25" s="1"/>
  <c r="J147" i="24"/>
  <c r="J147" i="25" s="1"/>
  <c r="P147" i="25" s="1"/>
  <c r="J84" i="24"/>
  <c r="J84" i="25" s="1"/>
  <c r="P84" i="25" s="1"/>
  <c r="J97" i="24"/>
  <c r="J97" i="25" s="1"/>
  <c r="P97" i="25" s="1"/>
  <c r="J134" i="24"/>
  <c r="J134" i="25" s="1"/>
  <c r="P134" i="25" s="1"/>
  <c r="J59" i="24"/>
  <c r="J59" i="25" s="1"/>
  <c r="P59" i="25" s="1"/>
  <c r="J67" i="24"/>
  <c r="J67" i="25" s="1"/>
  <c r="P67" i="25" s="1"/>
  <c r="J77" i="24"/>
  <c r="J77" i="25" s="1"/>
  <c r="P77" i="25" s="1"/>
  <c r="J31" i="24"/>
  <c r="J31" i="25" s="1"/>
  <c r="P31" i="25" s="1"/>
  <c r="J4" i="24"/>
  <c r="J4" i="25" s="1"/>
  <c r="P4" i="25" s="1"/>
  <c r="J41" i="24"/>
  <c r="J41" i="25" s="1"/>
  <c r="P41" i="25" s="1"/>
  <c r="J10" i="24"/>
  <c r="J10" i="25" s="1"/>
  <c r="P10" i="25" s="1"/>
  <c r="J23" i="24"/>
  <c r="J23" i="25" s="1"/>
  <c r="P23" i="25" s="1"/>
  <c r="J11" i="24"/>
  <c r="J11" i="25" s="1"/>
  <c r="P11" i="25" s="1"/>
  <c r="J36" i="24"/>
  <c r="J36" i="25" s="1"/>
  <c r="P36" i="25" s="1"/>
  <c r="J27" i="24"/>
  <c r="J27" i="25" s="1"/>
  <c r="P27" i="25" s="1"/>
  <c r="J17" i="24"/>
  <c r="J17" i="25" s="1"/>
  <c r="P17" i="25" s="1"/>
  <c r="J38" i="24"/>
  <c r="J38" i="25" s="1"/>
  <c r="P38" i="25" s="1"/>
  <c r="J5" i="24"/>
  <c r="J5" i="25" s="1"/>
  <c r="P5" i="25" s="1"/>
  <c r="J32" i="24"/>
  <c r="J32" i="25" s="1"/>
  <c r="P32" i="25" s="1"/>
  <c r="J14" i="24"/>
  <c r="J14" i="25" s="1"/>
  <c r="P14" i="25" s="1"/>
  <c r="J9" i="24"/>
  <c r="J9" i="25" s="1"/>
  <c r="P9" i="25" s="1"/>
  <c r="J28" i="24"/>
  <c r="J28" i="25" s="1"/>
  <c r="P28" i="25" s="1"/>
  <c r="J25" i="24"/>
  <c r="J25" i="25" s="1"/>
  <c r="P25" i="25" s="1"/>
  <c r="J27" i="2"/>
  <c r="J27" i="8" s="1"/>
  <c r="P27" i="8" s="1"/>
  <c r="J40" i="2"/>
  <c r="J40" i="8" s="1"/>
  <c r="P40" i="8" s="1"/>
  <c r="J12" i="2"/>
  <c r="J12" i="8" s="1"/>
  <c r="P12" i="8" s="1"/>
  <c r="J144" i="2"/>
  <c r="J144" i="8" s="1"/>
  <c r="P144" i="8" s="1"/>
  <c r="J100" i="2"/>
  <c r="J100" i="8" s="1"/>
  <c r="P100" i="8" s="1"/>
  <c r="J71" i="2"/>
  <c r="J71" i="8" s="1"/>
  <c r="P71" i="8" s="1"/>
  <c r="J148" i="2"/>
  <c r="J148" i="8" s="1"/>
  <c r="P148" i="8" s="1"/>
  <c r="J88" i="2"/>
  <c r="J88" i="8" s="1"/>
  <c r="P88" i="8" s="1"/>
  <c r="J157" i="2"/>
  <c r="J157" i="8" s="1"/>
  <c r="P157" i="8" s="1"/>
  <c r="J131" i="2"/>
  <c r="J131" i="8" s="1"/>
  <c r="P131" i="8" s="1"/>
  <c r="J6" i="2"/>
  <c r="J75" i="2"/>
  <c r="J75" i="8" s="1"/>
  <c r="P75" i="8" s="1"/>
  <c r="J89" i="2"/>
  <c r="J89" i="8" s="1"/>
  <c r="P89" i="8" s="1"/>
  <c r="J36" i="2"/>
  <c r="J36" i="8" s="1"/>
  <c r="P36" i="8" s="1"/>
  <c r="J42" i="2"/>
  <c r="J42" i="8" s="1"/>
  <c r="P42" i="8" s="1"/>
  <c r="J73" i="2"/>
  <c r="J73" i="8" s="1"/>
  <c r="P73" i="8" s="1"/>
  <c r="J98" i="2"/>
  <c r="J98" i="8" s="1"/>
  <c r="P98" i="8" s="1"/>
  <c r="J115" i="2"/>
  <c r="J115" i="8" s="1"/>
  <c r="P115" i="8" s="1"/>
  <c r="J182" i="2"/>
  <c r="J182" i="8" s="1"/>
  <c r="P182" i="8" s="1"/>
  <c r="J154" i="2"/>
  <c r="J154" i="8" s="1"/>
  <c r="P154" i="8" s="1"/>
  <c r="J78" i="2"/>
  <c r="J78" i="8" s="1"/>
  <c r="P78" i="8" s="1"/>
  <c r="J138" i="2"/>
  <c r="J138" i="8" s="1"/>
  <c r="P138" i="8" s="1"/>
  <c r="J152" i="2"/>
  <c r="J152" i="8" s="1"/>
  <c r="P152" i="8" s="1"/>
  <c r="J22" i="2"/>
  <c r="J22" i="8" s="1"/>
  <c r="P22" i="8" s="1"/>
  <c r="J38" i="2"/>
  <c r="J38" i="8" s="1"/>
  <c r="P38" i="8" s="1"/>
  <c r="J26" i="2"/>
  <c r="J26" i="8" s="1"/>
  <c r="P26" i="8" s="1"/>
  <c r="J86" i="2"/>
  <c r="J86" i="8" s="1"/>
  <c r="P86" i="8" s="1"/>
  <c r="J151" i="2"/>
  <c r="J151" i="8" s="1"/>
  <c r="P151" i="8" s="1"/>
  <c r="J45" i="2"/>
  <c r="J45" i="8" s="1"/>
  <c r="P45" i="8" s="1"/>
  <c r="J123" i="2"/>
  <c r="J123" i="8" s="1"/>
  <c r="P123" i="8" s="1"/>
  <c r="J177" i="2"/>
  <c r="J177" i="8" s="1"/>
  <c r="P177" i="8" s="1"/>
  <c r="J105" i="2"/>
  <c r="J105" i="8" s="1"/>
  <c r="P105" i="8" s="1"/>
  <c r="J170" i="2"/>
  <c r="J170" i="8" s="1"/>
  <c r="P170" i="8" s="1"/>
  <c r="J118" i="2"/>
  <c r="J118" i="8" s="1"/>
  <c r="P118" i="8" s="1"/>
  <c r="J28" i="2"/>
  <c r="J28" i="8" s="1"/>
  <c r="P28" i="8" s="1"/>
  <c r="J8" i="2"/>
  <c r="J8" i="8" s="1"/>
  <c r="P8" i="8" s="1"/>
  <c r="J7" i="2"/>
  <c r="J7" i="8" s="1"/>
  <c r="P7" i="8" s="1"/>
  <c r="J29" i="2"/>
  <c r="J29" i="8" s="1"/>
  <c r="P29" i="8" s="1"/>
  <c r="J33" i="2"/>
  <c r="J33" i="8" s="1"/>
  <c r="P33" i="8" s="1"/>
  <c r="J150" i="2"/>
  <c r="J150" i="8" s="1"/>
  <c r="P150" i="8" s="1"/>
  <c r="J62" i="2"/>
  <c r="J62" i="8" s="1"/>
  <c r="P62" i="8" s="1"/>
  <c r="J121" i="2"/>
  <c r="J121" i="8" s="1"/>
  <c r="P121" i="8" s="1"/>
  <c r="J147" i="2"/>
  <c r="J147" i="8" s="1"/>
  <c r="P147" i="8" s="1"/>
  <c r="J66" i="2"/>
  <c r="J66" i="8" s="1"/>
  <c r="P66" i="8" s="1"/>
  <c r="J56" i="2"/>
  <c r="J56" i="8" s="1"/>
  <c r="P56" i="8" s="1"/>
  <c r="J39" i="2"/>
  <c r="J39" i="8" s="1"/>
  <c r="P39" i="8" s="1"/>
  <c r="J5" i="2"/>
  <c r="J5" i="8" s="1"/>
  <c r="P5" i="8" s="1"/>
  <c r="J63" i="2"/>
  <c r="J63" i="8" s="1"/>
  <c r="P63" i="8" s="1"/>
  <c r="J164" i="2"/>
  <c r="J164" i="8" s="1"/>
  <c r="P164" i="8" s="1"/>
  <c r="J76" i="2"/>
  <c r="J76" i="8" s="1"/>
  <c r="P76" i="8" s="1"/>
  <c r="J153" i="2"/>
  <c r="J153" i="8" s="1"/>
  <c r="P153" i="8" s="1"/>
  <c r="J127" i="2"/>
  <c r="J127" i="8" s="1"/>
  <c r="P127" i="8" s="1"/>
  <c r="J117" i="2"/>
  <c r="J117" i="8" s="1"/>
  <c r="P117" i="8" s="1"/>
  <c r="J112" i="2"/>
  <c r="J112" i="8" s="1"/>
  <c r="P112" i="8" s="1"/>
  <c r="J41" i="2"/>
  <c r="J41" i="8" s="1"/>
  <c r="P41" i="8" s="1"/>
  <c r="J129" i="2"/>
  <c r="J129" i="8" s="1"/>
  <c r="P129" i="8" s="1"/>
  <c r="J50" i="2"/>
  <c r="J50" i="8" s="1"/>
  <c r="P50" i="8" s="1"/>
  <c r="J18" i="2"/>
  <c r="J18" i="8" s="1"/>
  <c r="P18" i="8" s="1"/>
  <c r="J135" i="2"/>
  <c r="J135" i="8" s="1"/>
  <c r="P135" i="8" s="1"/>
  <c r="J49" i="2"/>
  <c r="J49" i="8" s="1"/>
  <c r="P49" i="8" s="1"/>
  <c r="J109" i="2"/>
  <c r="J109" i="8" s="1"/>
  <c r="P109" i="8" s="1"/>
  <c r="J162" i="2"/>
  <c r="J162" i="8" s="1"/>
  <c r="P162" i="8" s="1"/>
  <c r="J155" i="2"/>
  <c r="J155" i="8" s="1"/>
  <c r="P155" i="8" s="1"/>
  <c r="J166" i="2"/>
  <c r="J166" i="8" s="1"/>
  <c r="P166" i="8" s="1"/>
  <c r="J122" i="2"/>
  <c r="J122" i="8" s="1"/>
  <c r="P122" i="8" s="1"/>
  <c r="J179" i="2"/>
  <c r="J179" i="8" s="1"/>
  <c r="P179" i="8" s="1"/>
  <c r="J146" i="2"/>
  <c r="J146" i="8" s="1"/>
  <c r="P146" i="8" s="1"/>
  <c r="J96" i="2"/>
  <c r="J96" i="8" s="1"/>
  <c r="P96" i="8" s="1"/>
  <c r="J60" i="2"/>
  <c r="J60" i="8" s="1"/>
  <c r="P60" i="8" s="1"/>
  <c r="J70" i="2"/>
  <c r="J70" i="8" s="1"/>
  <c r="P70" i="8" s="1"/>
  <c r="J120" i="2"/>
  <c r="J120" i="8" s="1"/>
  <c r="P120" i="8" s="1"/>
  <c r="J84" i="2"/>
  <c r="J84" i="8" s="1"/>
  <c r="P84" i="8" s="1"/>
  <c r="J54" i="2"/>
  <c r="J54" i="8" s="1"/>
  <c r="P54" i="8" s="1"/>
  <c r="J94" i="2"/>
  <c r="J94" i="8" s="1"/>
  <c r="P94" i="8" s="1"/>
  <c r="J99" i="2"/>
  <c r="J99" i="8" s="1"/>
  <c r="P99" i="8" s="1"/>
  <c r="J68" i="2"/>
  <c r="J68" i="8" s="1"/>
  <c r="P68" i="8" s="1"/>
  <c r="J110" i="2"/>
  <c r="J110" i="8" s="1"/>
  <c r="P110" i="8" s="1"/>
  <c r="J165" i="2"/>
  <c r="J165" i="8" s="1"/>
  <c r="P165" i="8" s="1"/>
  <c r="J67" i="2"/>
  <c r="J67" i="8" s="1"/>
  <c r="P67" i="8" s="1"/>
  <c r="J136" i="2"/>
  <c r="J136" i="8" s="1"/>
  <c r="P136" i="8" s="1"/>
  <c r="J74" i="2"/>
  <c r="J74" i="8" s="1"/>
  <c r="P74" i="8" s="1"/>
  <c r="J48" i="2"/>
  <c r="J48" i="8" s="1"/>
  <c r="P48" i="8" s="1"/>
  <c r="J113" i="2"/>
  <c r="J113" i="8" s="1"/>
  <c r="P113" i="8" s="1"/>
  <c r="J114" i="2"/>
  <c r="J114" i="8" s="1"/>
  <c r="P114" i="8" s="1"/>
  <c r="J159" i="2"/>
  <c r="J159" i="8" s="1"/>
  <c r="P159" i="8" s="1"/>
  <c r="J128" i="2"/>
  <c r="J128" i="8" s="1"/>
  <c r="P128" i="8" s="1"/>
  <c r="J69" i="2"/>
  <c r="J69" i="8" s="1"/>
  <c r="P69" i="8" s="1"/>
  <c r="J44" i="2"/>
  <c r="J44" i="8" s="1"/>
  <c r="P44" i="8" s="1"/>
  <c r="J77" i="2"/>
  <c r="J77" i="8" s="1"/>
  <c r="P77" i="8" s="1"/>
  <c r="J93" i="2"/>
  <c r="J93" i="8" s="1"/>
  <c r="P93" i="8" s="1"/>
  <c r="J64" i="2"/>
  <c r="J64" i="8" s="1"/>
  <c r="P64" i="8" s="1"/>
  <c r="J137" i="2"/>
  <c r="J137" i="8" s="1"/>
  <c r="P137" i="8" s="1"/>
  <c r="J46" i="2"/>
  <c r="J46" i="8" s="1"/>
  <c r="P46" i="8" s="1"/>
  <c r="J116" i="2"/>
  <c r="J116" i="8" s="1"/>
  <c r="P116" i="8" s="1"/>
  <c r="J168" i="2"/>
  <c r="J168" i="8" s="1"/>
  <c r="P168" i="8" s="1"/>
  <c r="J47" i="2"/>
  <c r="J47" i="8" s="1"/>
  <c r="P47" i="8" s="1"/>
  <c r="J111" i="2"/>
  <c r="J111" i="8" s="1"/>
  <c r="P111" i="8" s="1"/>
  <c r="J61" i="2"/>
  <c r="J61" i="8" s="1"/>
  <c r="P61" i="8" s="1"/>
  <c r="J91" i="2"/>
  <c r="J91" i="8" s="1"/>
  <c r="P91" i="8" s="1"/>
  <c r="J172" i="2"/>
  <c r="J172" i="8" s="1"/>
  <c r="P172" i="8" s="1"/>
  <c r="J119" i="2"/>
  <c r="J119" i="8" s="1"/>
  <c r="P119" i="8" s="1"/>
  <c r="J160" i="2"/>
  <c r="J160" i="8" s="1"/>
  <c r="P160" i="8" s="1"/>
  <c r="J180" i="2"/>
  <c r="J180" i="8" s="1"/>
  <c r="P180" i="8" s="1"/>
  <c r="J81" i="2"/>
  <c r="J81" i="8" s="1"/>
  <c r="P81" i="8" s="1"/>
  <c r="J126" i="2"/>
  <c r="J126" i="8" s="1"/>
  <c r="P126" i="8" s="1"/>
  <c r="J125" i="2"/>
  <c r="J125" i="8" s="1"/>
  <c r="P125" i="8" s="1"/>
  <c r="J169" i="2"/>
  <c r="J169" i="8" s="1"/>
  <c r="P169" i="8" s="1"/>
  <c r="J108" i="2"/>
  <c r="J108" i="8" s="1"/>
  <c r="P108" i="8" s="1"/>
  <c r="J106" i="2"/>
  <c r="J106" i="8" s="1"/>
  <c r="P106" i="8" s="1"/>
  <c r="J58" i="2"/>
  <c r="J58" i="8" s="1"/>
  <c r="P58" i="8" s="1"/>
  <c r="J43" i="2"/>
  <c r="J43" i="8" s="1"/>
  <c r="P43" i="8" s="1"/>
  <c r="J181" i="2"/>
  <c r="J181" i="8" s="1"/>
  <c r="P181" i="8" s="1"/>
  <c r="J82" i="2"/>
  <c r="J82" i="8" s="1"/>
  <c r="P82" i="8" s="1"/>
  <c r="J95" i="2"/>
  <c r="J95" i="8" s="1"/>
  <c r="P95" i="8" s="1"/>
  <c r="J80" i="2"/>
  <c r="J80" i="8" s="1"/>
  <c r="P80" i="8" s="1"/>
  <c r="J139" i="2"/>
  <c r="J139" i="8" s="1"/>
  <c r="P139" i="8" s="1"/>
  <c r="J72" i="2"/>
  <c r="J72" i="8" s="1"/>
  <c r="P72" i="8" s="1"/>
  <c r="J51" i="2"/>
  <c r="J51" i="8" s="1"/>
  <c r="P51" i="8" s="1"/>
  <c r="J173" i="2"/>
  <c r="J173" i="8" s="1"/>
  <c r="P173" i="8" s="1"/>
  <c r="J79" i="2"/>
  <c r="J79" i="8" s="1"/>
  <c r="P79" i="8" s="1"/>
  <c r="J134" i="2"/>
  <c r="J134" i="8" s="1"/>
  <c r="P134" i="8" s="1"/>
  <c r="J104" i="2"/>
  <c r="J104" i="8" s="1"/>
  <c r="P104" i="8" s="1"/>
  <c r="J171" i="2"/>
  <c r="J171" i="8" s="1"/>
  <c r="P171" i="8" s="1"/>
  <c r="J163" i="2"/>
  <c r="J163" i="8" s="1"/>
  <c r="P163" i="8" s="1"/>
  <c r="J141" i="2"/>
  <c r="J141" i="8" s="1"/>
  <c r="P141" i="8" s="1"/>
  <c r="J65" i="2"/>
  <c r="J65" i="8" s="1"/>
  <c r="P65" i="8" s="1"/>
  <c r="J149" i="2"/>
  <c r="J149" i="8" s="1"/>
  <c r="P149" i="8" s="1"/>
  <c r="J178" i="2"/>
  <c r="J178" i="8" s="1"/>
  <c r="P178" i="8" s="1"/>
  <c r="J158" i="2"/>
  <c r="J158" i="8" s="1"/>
  <c r="P158" i="8" s="1"/>
  <c r="J140" i="2"/>
  <c r="J140" i="8" s="1"/>
  <c r="P140" i="8" s="1"/>
  <c r="J90" i="2"/>
  <c r="J90" i="8" s="1"/>
  <c r="P90" i="8" s="1"/>
  <c r="J97" i="2"/>
  <c r="J97" i="8" s="1"/>
  <c r="P97" i="8" s="1"/>
  <c r="J57" i="2"/>
  <c r="J57" i="8" s="1"/>
  <c r="P57" i="8" s="1"/>
  <c r="J161" i="2"/>
  <c r="J161" i="8" s="1"/>
  <c r="P161" i="8" s="1"/>
  <c r="J102" i="2"/>
  <c r="J102" i="8" s="1"/>
  <c r="P102" i="8" s="1"/>
  <c r="J52" i="2"/>
  <c r="J52" i="8" s="1"/>
  <c r="P52" i="8" s="1"/>
  <c r="J174" i="2"/>
  <c r="J174" i="8" s="1"/>
  <c r="P174" i="8" s="1"/>
  <c r="J156" i="2"/>
  <c r="J156" i="8" s="1"/>
  <c r="P156" i="8" s="1"/>
  <c r="J55" i="2"/>
  <c r="J55" i="8" s="1"/>
  <c r="P55" i="8" s="1"/>
  <c r="J176" i="2"/>
  <c r="J176" i="8" s="1"/>
  <c r="P176" i="8" s="1"/>
  <c r="J59" i="2"/>
  <c r="J59" i="8" s="1"/>
  <c r="P59" i="8" s="1"/>
  <c r="J133" i="2"/>
  <c r="J133" i="8" s="1"/>
  <c r="P133" i="8" s="1"/>
  <c r="J87" i="2"/>
  <c r="J87" i="8" s="1"/>
  <c r="P87" i="8" s="1"/>
  <c r="J11" i="2"/>
  <c r="J11" i="8" s="1"/>
  <c r="P11" i="8" s="1"/>
  <c r="J142" i="2"/>
  <c r="J142" i="8" s="1"/>
  <c r="P142" i="8" s="1"/>
  <c r="J85" i="2"/>
  <c r="J85" i="8" s="1"/>
  <c r="P85" i="8" s="1"/>
  <c r="J143" i="2"/>
  <c r="J143" i="8" s="1"/>
  <c r="P143" i="8" s="1"/>
  <c r="J130" i="2"/>
  <c r="J130" i="8" s="1"/>
  <c r="P130" i="8" s="1"/>
  <c r="J145" i="2"/>
  <c r="J145" i="8" s="1"/>
  <c r="P145" i="8" s="1"/>
  <c r="J124" i="2"/>
  <c r="J124" i="8" s="1"/>
  <c r="P124" i="8" s="1"/>
  <c r="J53" i="2"/>
  <c r="J53" i="8" s="1"/>
  <c r="P53" i="8" s="1"/>
  <c r="J175" i="2"/>
  <c r="J175" i="8" s="1"/>
  <c r="P175" i="8" s="1"/>
  <c r="J101" i="2"/>
  <c r="J101" i="8" s="1"/>
  <c r="P101" i="8" s="1"/>
  <c r="J107" i="2"/>
  <c r="J107" i="8" s="1"/>
  <c r="P107" i="8" s="1"/>
  <c r="J83" i="2"/>
  <c r="J83" i="8" s="1"/>
  <c r="P83" i="8" s="1"/>
  <c r="J92" i="2"/>
  <c r="J92" i="8" s="1"/>
  <c r="P92" i="8" s="1"/>
  <c r="J167" i="2"/>
  <c r="J167" i="8" s="1"/>
  <c r="P167" i="8" s="1"/>
  <c r="J103" i="2"/>
  <c r="J103" i="8" s="1"/>
  <c r="P103" i="8" s="1"/>
  <c r="J31" i="2"/>
  <c r="J31" i="8" s="1"/>
  <c r="P31" i="8" s="1"/>
  <c r="J35" i="2"/>
  <c r="J35" i="8" s="1"/>
  <c r="P35" i="8" s="1"/>
  <c r="J23" i="2"/>
  <c r="J23" i="8" s="1"/>
  <c r="P23" i="8" s="1"/>
  <c r="J19" i="2"/>
  <c r="J19" i="8" s="1"/>
  <c r="P19" i="8" s="1"/>
  <c r="J20" i="2"/>
  <c r="J20" i="8" s="1"/>
  <c r="P20" i="8" s="1"/>
  <c r="J16" i="2"/>
  <c r="J16" i="8" s="1"/>
  <c r="P16" i="8" s="1"/>
  <c r="J32" i="2"/>
  <c r="J32" i="8" s="1"/>
  <c r="P32" i="8" s="1"/>
  <c r="J13" i="2"/>
  <c r="J13" i="8" s="1"/>
  <c r="P13" i="8" s="1"/>
  <c r="J9" i="2"/>
  <c r="J9" i="8" s="1"/>
  <c r="P9" i="8" s="1"/>
  <c r="J34" i="2"/>
  <c r="J34" i="8" s="1"/>
  <c r="P34" i="8" s="1"/>
  <c r="J21" i="2"/>
  <c r="J21" i="8" s="1"/>
  <c r="P21" i="8" s="1"/>
  <c r="J14" i="2"/>
  <c r="J14" i="8" s="1"/>
  <c r="P14" i="8" s="1"/>
  <c r="J25" i="2"/>
  <c r="J25" i="8" s="1"/>
  <c r="P25" i="8" s="1"/>
  <c r="J17" i="2"/>
  <c r="J17" i="8" s="1"/>
  <c r="P17" i="8" s="1"/>
  <c r="J24" i="2"/>
  <c r="J24" i="8" s="1"/>
  <c r="P24" i="8" s="1"/>
  <c r="J15" i="2"/>
  <c r="J15" i="8" s="1"/>
  <c r="P15" i="8" s="1"/>
  <c r="J10" i="2"/>
  <c r="J10" i="8" s="1"/>
  <c r="P10" i="8" s="1"/>
  <c r="J30" i="2"/>
  <c r="J30" i="8" s="1"/>
  <c r="P30" i="8" s="1"/>
  <c r="J37" i="2"/>
  <c r="J37" i="8" s="1"/>
  <c r="P37" i="8" s="1"/>
  <c r="J120" i="17"/>
  <c r="P120" i="17" s="1"/>
  <c r="J7" i="17"/>
  <c r="P7" i="17" s="1"/>
  <c r="J158" i="17"/>
  <c r="P158" i="17" s="1"/>
  <c r="J99" i="17"/>
  <c r="P99" i="17" s="1"/>
  <c r="J71" i="17"/>
  <c r="P71" i="17" s="1"/>
  <c r="J38" i="17"/>
  <c r="P38" i="17" s="1"/>
  <c r="J130" i="17"/>
  <c r="P130" i="17" s="1"/>
  <c r="J55" i="17"/>
  <c r="P55" i="17" s="1"/>
  <c r="J33" i="17"/>
  <c r="P33" i="17" s="1"/>
  <c r="J28" i="17"/>
  <c r="P28" i="17" s="1"/>
  <c r="J83" i="17"/>
  <c r="P83" i="17" s="1"/>
  <c r="J93" i="17"/>
  <c r="P93" i="17" s="1"/>
  <c r="J96" i="17"/>
  <c r="P96" i="17" s="1"/>
  <c r="J166" i="17"/>
  <c r="P166" i="17" s="1"/>
  <c r="J157" i="17"/>
  <c r="P157" i="17" s="1"/>
  <c r="J154" i="17"/>
  <c r="P154" i="17" s="1"/>
  <c r="J58" i="17"/>
  <c r="P58" i="17" s="1"/>
  <c r="J163" i="17"/>
  <c r="P163" i="17" s="1"/>
  <c r="J90" i="17"/>
  <c r="P90" i="17" s="1"/>
  <c r="J18" i="17"/>
  <c r="P18" i="17" s="1"/>
  <c r="J120" i="25"/>
  <c r="P120" i="25" s="1"/>
  <c r="S5" i="42"/>
  <c r="J32" i="17"/>
  <c r="P32" i="17" s="1"/>
  <c r="J10" i="17"/>
  <c r="P10" i="17" s="1"/>
  <c r="J149" i="17"/>
  <c r="P149" i="17" s="1"/>
  <c r="J121" i="17"/>
  <c r="P121" i="17" s="1"/>
  <c r="J49" i="17"/>
  <c r="P49" i="17" s="1"/>
  <c r="J86" i="17"/>
  <c r="P86" i="17" s="1"/>
  <c r="J74" i="17"/>
  <c r="P74" i="17" s="1"/>
  <c r="J21" i="17"/>
  <c r="P21" i="17" s="1"/>
  <c r="J101" i="17"/>
  <c r="P101" i="17" s="1"/>
  <c r="J36" i="17"/>
  <c r="P36" i="17" s="1"/>
  <c r="J73" i="17"/>
  <c r="P73" i="17" s="1"/>
  <c r="J89" i="17"/>
  <c r="P89" i="17" s="1"/>
  <c r="J11" i="17"/>
  <c r="P11" i="17" s="1"/>
  <c r="J132" i="17"/>
  <c r="P132" i="17" s="1"/>
  <c r="J122" i="17"/>
  <c r="P122" i="17" s="1"/>
  <c r="J143" i="17"/>
  <c r="P143" i="17" s="1"/>
  <c r="J146" i="17"/>
  <c r="P146" i="17" s="1"/>
  <c r="J133" i="17"/>
  <c r="P133" i="17" s="1"/>
  <c r="J104" i="17"/>
  <c r="P104" i="17" s="1"/>
  <c r="AG5" i="42"/>
  <c r="C11" i="14"/>
  <c r="C37" i="26" s="1"/>
  <c r="J114" i="17"/>
  <c r="P114" i="17" s="1"/>
  <c r="J6" i="17"/>
  <c r="P6" i="17" s="1"/>
  <c r="J12" i="17"/>
  <c r="P12" i="17" s="1"/>
  <c r="J92" i="17"/>
  <c r="P92" i="17" s="1"/>
  <c r="J34" i="17"/>
  <c r="P34" i="17" s="1"/>
  <c r="J169" i="17"/>
  <c r="P169" i="17" s="1"/>
  <c r="J37" i="17"/>
  <c r="P37" i="17" s="1"/>
  <c r="J4" i="17"/>
  <c r="P4" i="17" s="1"/>
  <c r="I4" i="16"/>
  <c r="J43" i="17"/>
  <c r="P43" i="17" s="1"/>
  <c r="J138" i="17"/>
  <c r="P138" i="17" s="1"/>
  <c r="J76" i="17"/>
  <c r="P76" i="17" s="1"/>
  <c r="J155" i="17"/>
  <c r="P155" i="17" s="1"/>
  <c r="J117" i="17"/>
  <c r="P117" i="17" s="1"/>
  <c r="J42" i="17"/>
  <c r="P42" i="17" s="1"/>
  <c r="J48" i="17"/>
  <c r="P48" i="17" s="1"/>
  <c r="J66" i="17"/>
  <c r="P66" i="17" s="1"/>
  <c r="J54" i="17"/>
  <c r="P54" i="17" s="1"/>
  <c r="J156" i="25"/>
  <c r="P156" i="25" s="1"/>
  <c r="C42" i="26"/>
  <c r="J148" i="25"/>
  <c r="P148" i="25" s="1"/>
  <c r="J67" i="17"/>
  <c r="P67" i="17" s="1"/>
  <c r="J64" i="17"/>
  <c r="P64" i="17" s="1"/>
  <c r="J19" i="17"/>
  <c r="P19" i="17" s="1"/>
  <c r="J100" i="17"/>
  <c r="P100" i="17" s="1"/>
  <c r="J39" i="17"/>
  <c r="P39" i="17" s="1"/>
  <c r="J127" i="17"/>
  <c r="P127" i="17" s="1"/>
  <c r="J65" i="17"/>
  <c r="P65" i="17" s="1"/>
  <c r="J16" i="17"/>
  <c r="P16" i="17" s="1"/>
  <c r="J50" i="17"/>
  <c r="P50" i="17" s="1"/>
  <c r="J85" i="17"/>
  <c r="P85" i="17" s="1"/>
  <c r="J84" i="17"/>
  <c r="P84" i="17" s="1"/>
  <c r="J87" i="17"/>
  <c r="P87" i="17" s="1"/>
  <c r="J156" i="17"/>
  <c r="P156" i="17" s="1"/>
  <c r="J162" i="17"/>
  <c r="P162" i="17" s="1"/>
  <c r="J129" i="17"/>
  <c r="P129" i="17" s="1"/>
  <c r="J159" i="17"/>
  <c r="P159" i="17" s="1"/>
  <c r="J72" i="17"/>
  <c r="P72" i="17" s="1"/>
  <c r="J134" i="17"/>
  <c r="P134" i="17" s="1"/>
  <c r="J31" i="17"/>
  <c r="P31" i="17" s="1"/>
  <c r="J15" i="17"/>
  <c r="P15" i="17" s="1"/>
  <c r="J147" i="17"/>
  <c r="P147" i="17" s="1"/>
  <c r="J69" i="17"/>
  <c r="P69" i="17" s="1"/>
  <c r="J98" i="17"/>
  <c r="P98" i="17" s="1"/>
  <c r="J14" i="17"/>
  <c r="P14" i="17" s="1"/>
  <c r="J47" i="17"/>
  <c r="P47" i="17" s="1"/>
  <c r="J5" i="17"/>
  <c r="P5" i="17" s="1"/>
  <c r="J115" i="17"/>
  <c r="P115" i="17" s="1"/>
  <c r="J102" i="17"/>
  <c r="P102" i="17" s="1"/>
  <c r="J53" i="17"/>
  <c r="P53" i="17" s="1"/>
  <c r="J108" i="17"/>
  <c r="P108" i="17" s="1"/>
  <c r="J82" i="17"/>
  <c r="P82" i="17" s="1"/>
  <c r="J91" i="17"/>
  <c r="P91" i="17" s="1"/>
  <c r="J165" i="17"/>
  <c r="P165" i="17" s="1"/>
  <c r="J13" i="17"/>
  <c r="P13" i="17" s="1"/>
  <c r="J160" i="17"/>
  <c r="P160" i="17" s="1"/>
  <c r="J52" i="17"/>
  <c r="P52" i="17" s="1"/>
  <c r="J161" i="17"/>
  <c r="P161" i="17" s="1"/>
  <c r="J123" i="17"/>
  <c r="P123" i="17" s="1"/>
  <c r="J35" i="17"/>
  <c r="P35" i="17" s="1"/>
  <c r="J30" i="17"/>
  <c r="P30" i="17" s="1"/>
  <c r="J139" i="17"/>
  <c r="P139" i="17" s="1"/>
  <c r="J80" i="17"/>
  <c r="P80" i="17" s="1"/>
  <c r="J75" i="17"/>
  <c r="P75" i="17" s="1"/>
  <c r="J62" i="17"/>
  <c r="P62" i="17" s="1"/>
  <c r="J56" i="17"/>
  <c r="P56" i="17" s="1"/>
  <c r="J20" i="25"/>
  <c r="P20" i="25" s="1"/>
  <c r="J150" i="17"/>
  <c r="P150" i="17" s="1"/>
  <c r="J153" i="17"/>
  <c r="P153" i="17" s="1"/>
  <c r="J17" i="17"/>
  <c r="P17" i="17" s="1"/>
  <c r="J61" i="17"/>
  <c r="P61" i="17" s="1"/>
  <c r="J116" i="17"/>
  <c r="P116" i="17" s="1"/>
  <c r="J107" i="17"/>
  <c r="P107" i="17" s="1"/>
  <c r="J164" i="17"/>
  <c r="P164" i="17" s="1"/>
  <c r="J126" i="17"/>
  <c r="P126" i="17" s="1"/>
  <c r="J20" i="17"/>
  <c r="P20" i="17" s="1"/>
  <c r="J145" i="17"/>
  <c r="P145" i="17" s="1"/>
  <c r="J51" i="17"/>
  <c r="P51" i="17" s="1"/>
  <c r="J63" i="17"/>
  <c r="P63" i="17" s="1"/>
  <c r="J151" i="17"/>
  <c r="P151" i="17" s="1"/>
  <c r="J148" i="17"/>
  <c r="P148" i="17" s="1"/>
  <c r="J70" i="17"/>
  <c r="P70" i="17" s="1"/>
  <c r="J94" i="17"/>
  <c r="P94" i="17" s="1"/>
  <c r="J23" i="17"/>
  <c r="P23" i="17" s="1"/>
  <c r="J154" i="25"/>
  <c r="P154" i="25" s="1"/>
  <c r="J167" i="17"/>
  <c r="P167" i="17" s="1"/>
  <c r="J136" i="17"/>
  <c r="P136" i="17" s="1"/>
  <c r="J105" i="17"/>
  <c r="P105" i="17" s="1"/>
  <c r="J131" i="17"/>
  <c r="P131" i="17" s="1"/>
  <c r="J113" i="17"/>
  <c r="P113" i="17" s="1"/>
  <c r="J68" i="17"/>
  <c r="P68" i="17" s="1"/>
  <c r="J124" i="17"/>
  <c r="P124" i="17" s="1"/>
  <c r="J144" i="17"/>
  <c r="P144" i="17" s="1"/>
  <c r="J95" i="17"/>
  <c r="P95" i="17" s="1"/>
  <c r="J111" i="17"/>
  <c r="P111" i="17" s="1"/>
  <c r="J140" i="17"/>
  <c r="P140" i="17" s="1"/>
  <c r="J40" i="17"/>
  <c r="P40" i="17" s="1"/>
  <c r="J137" i="17"/>
  <c r="P137" i="17" s="1"/>
  <c r="J29" i="17"/>
  <c r="P29" i="17" s="1"/>
  <c r="J24" i="17"/>
  <c r="P24" i="17" s="1"/>
  <c r="J44" i="17"/>
  <c r="P44" i="17" s="1"/>
  <c r="J135" i="17"/>
  <c r="P135" i="17" s="1"/>
  <c r="J142" i="17"/>
  <c r="P142" i="17" s="1"/>
  <c r="J45" i="17"/>
  <c r="P45" i="17" s="1"/>
  <c r="J109" i="17"/>
  <c r="P109" i="17" s="1"/>
  <c r="J152" i="17"/>
  <c r="P152" i="17" s="1"/>
  <c r="J168" i="17"/>
  <c r="P168" i="17" s="1"/>
  <c r="J6" i="8" l="1"/>
  <c r="P6" i="8" s="1"/>
  <c r="I4" i="24"/>
  <c r="I5" i="24" s="1"/>
  <c r="J183" i="25"/>
  <c r="P183" i="25" s="1"/>
  <c r="J185" i="8"/>
  <c r="P185" i="8" s="1"/>
  <c r="J184" i="8"/>
  <c r="P184" i="8" s="1"/>
  <c r="J183" i="8"/>
  <c r="P183" i="8" s="1"/>
  <c r="I4" i="2"/>
  <c r="J4" i="8"/>
  <c r="P4" i="8" s="1"/>
  <c r="H4" i="17"/>
  <c r="I5" i="16"/>
  <c r="H4" i="25" l="1"/>
  <c r="H4" i="8"/>
  <c r="R4" i="8" s="1"/>
  <c r="I5" i="2"/>
  <c r="H5" i="25"/>
  <c r="R5" i="25" s="1"/>
  <c r="I6" i="24"/>
  <c r="H5" i="17"/>
  <c r="R5" i="17" s="1"/>
  <c r="I6" i="16"/>
  <c r="R4" i="17"/>
  <c r="R4" i="25" l="1"/>
  <c r="I6" i="2"/>
  <c r="H5" i="8"/>
  <c r="R5" i="8" s="1"/>
  <c r="H6" i="17"/>
  <c r="R6" i="17" s="1"/>
  <c r="I7" i="16"/>
  <c r="H6" i="25"/>
  <c r="I7" i="24"/>
  <c r="H6" i="8" l="1"/>
  <c r="R6" i="8" s="1"/>
  <c r="I7" i="2"/>
  <c r="H7" i="17"/>
  <c r="I8" i="16"/>
  <c r="H7" i="25"/>
  <c r="I8" i="24"/>
  <c r="R6" i="25"/>
  <c r="H7" i="8" l="1"/>
  <c r="R7" i="8" s="1"/>
  <c r="I8" i="2"/>
  <c r="H8" i="17"/>
  <c r="I9" i="16"/>
  <c r="H8" i="25"/>
  <c r="I9" i="24"/>
  <c r="R7" i="25"/>
  <c r="R7" i="17"/>
  <c r="I9" i="2" l="1"/>
  <c r="I10" i="2" s="1"/>
  <c r="H8" i="8"/>
  <c r="R8" i="8" s="1"/>
  <c r="R8" i="17"/>
  <c r="H9" i="25"/>
  <c r="I10" i="24"/>
  <c r="R8" i="25"/>
  <c r="H9" i="17"/>
  <c r="R9" i="17" s="1"/>
  <c r="I10" i="16"/>
  <c r="H9" i="8" l="1"/>
  <c r="R9" i="8" s="1"/>
  <c r="H10" i="25"/>
  <c r="R10" i="25" s="1"/>
  <c r="I11" i="24"/>
  <c r="R9" i="25"/>
  <c r="H10" i="17"/>
  <c r="R10" i="17" s="1"/>
  <c r="I11" i="16"/>
  <c r="I11" i="2" l="1"/>
  <c r="H10" i="8"/>
  <c r="R10" i="8" s="1"/>
  <c r="H11" i="17"/>
  <c r="R11" i="17" s="1"/>
  <c r="I12" i="16"/>
  <c r="S6" i="42"/>
  <c r="H11" i="25"/>
  <c r="R11" i="25" s="1"/>
  <c r="I12" i="24"/>
  <c r="AG6" i="42"/>
  <c r="E6" i="42" l="1"/>
  <c r="H11" i="8"/>
  <c r="R11" i="8" s="1"/>
  <c r="I12" i="2"/>
  <c r="H12" i="17"/>
  <c r="R12" i="17" s="1"/>
  <c r="I13" i="16"/>
  <c r="H12" i="25"/>
  <c r="R12" i="25" s="1"/>
  <c r="I13" i="24"/>
  <c r="AM6" i="42"/>
  <c r="AF6" i="42"/>
  <c r="AK6" i="42"/>
  <c r="W6" i="42"/>
  <c r="R6" i="42"/>
  <c r="Y6" i="42"/>
  <c r="H12" i="8" l="1"/>
  <c r="R12" i="8" s="1"/>
  <c r="I13" i="2"/>
  <c r="D6" i="42"/>
  <c r="H13" i="25"/>
  <c r="R13" i="25" s="1"/>
  <c r="I14" i="24"/>
  <c r="H13" i="17"/>
  <c r="R13" i="17" s="1"/>
  <c r="I14" i="16"/>
  <c r="I14" i="2" l="1"/>
  <c r="H13" i="8"/>
  <c r="R13" i="8" s="1"/>
  <c r="H14" i="17"/>
  <c r="R14" i="17" s="1"/>
  <c r="I15" i="16"/>
  <c r="H14" i="25"/>
  <c r="R14" i="25" s="1"/>
  <c r="I15" i="24"/>
  <c r="H14" i="8" l="1"/>
  <c r="R14" i="8" s="1"/>
  <c r="I15" i="2"/>
  <c r="H15" i="25"/>
  <c r="R15" i="25" s="1"/>
  <c r="I16" i="24"/>
  <c r="H15" i="17"/>
  <c r="R15" i="17" s="1"/>
  <c r="I16" i="16"/>
  <c r="H15" i="8" l="1"/>
  <c r="R15" i="8" s="1"/>
  <c r="I16" i="2"/>
  <c r="H16" i="17"/>
  <c r="R16" i="17" s="1"/>
  <c r="I17" i="16"/>
  <c r="H16" i="25"/>
  <c r="R16" i="25" s="1"/>
  <c r="I17" i="24"/>
  <c r="H16" i="8" l="1"/>
  <c r="R16" i="8" s="1"/>
  <c r="I17" i="2"/>
  <c r="H17" i="17"/>
  <c r="R17" i="17" s="1"/>
  <c r="I18" i="16"/>
  <c r="H17" i="25"/>
  <c r="R17" i="25" s="1"/>
  <c r="I18" i="24"/>
  <c r="H17" i="8" l="1"/>
  <c r="R17" i="8" s="1"/>
  <c r="I18" i="2"/>
  <c r="H18" i="25"/>
  <c r="R18" i="25" s="1"/>
  <c r="I19" i="24"/>
  <c r="AG7" i="42"/>
  <c r="H18" i="17"/>
  <c r="R18" i="17" s="1"/>
  <c r="I19" i="16"/>
  <c r="S7" i="42"/>
  <c r="H18" i="8" l="1"/>
  <c r="R18" i="8" s="1"/>
  <c r="I19" i="2"/>
  <c r="E7" i="42"/>
  <c r="AF7" i="42"/>
  <c r="AM7" i="42"/>
  <c r="AK7" i="42"/>
  <c r="H19" i="25"/>
  <c r="R19" i="25" s="1"/>
  <c r="I20" i="24"/>
  <c r="Y7" i="42"/>
  <c r="R7" i="42"/>
  <c r="W7" i="42"/>
  <c r="H19" i="17"/>
  <c r="R19" i="17" s="1"/>
  <c r="I20" i="16"/>
  <c r="I7" i="42" l="1"/>
  <c r="D7" i="42"/>
  <c r="F6" i="42"/>
  <c r="H19" i="8"/>
  <c r="R19" i="8" s="1"/>
  <c r="I20" i="2"/>
  <c r="H20" i="25"/>
  <c r="R20" i="25" s="1"/>
  <c r="I21" i="24"/>
  <c r="H20" i="17"/>
  <c r="R20" i="17" s="1"/>
  <c r="I21" i="16"/>
  <c r="I21" i="2" l="1"/>
  <c r="H20" i="8"/>
  <c r="R20" i="8" s="1"/>
  <c r="H21" i="17"/>
  <c r="R21" i="17" s="1"/>
  <c r="I22" i="16"/>
  <c r="H21" i="25"/>
  <c r="R21" i="25" s="1"/>
  <c r="I22" i="24"/>
  <c r="H21" i="8" l="1"/>
  <c r="R21" i="8" s="1"/>
  <c r="I22" i="2"/>
  <c r="I23" i="24"/>
  <c r="H22" i="25"/>
  <c r="R22" i="25" s="1"/>
  <c r="H22" i="17"/>
  <c r="R22" i="17" s="1"/>
  <c r="I23" i="16"/>
  <c r="H22" i="8" l="1"/>
  <c r="R22" i="8" s="1"/>
  <c r="I23" i="2"/>
  <c r="H23" i="17"/>
  <c r="R23" i="17" s="1"/>
  <c r="I24" i="16"/>
  <c r="H23" i="25"/>
  <c r="R23" i="25" s="1"/>
  <c r="I24" i="24"/>
  <c r="H23" i="8" l="1"/>
  <c r="R23" i="8" s="1"/>
  <c r="I24" i="2"/>
  <c r="H24" i="17"/>
  <c r="R24" i="17" s="1"/>
  <c r="I25" i="16"/>
  <c r="H24" i="25"/>
  <c r="R24" i="25" s="1"/>
  <c r="I25" i="24"/>
  <c r="I25" i="2" l="1"/>
  <c r="H24" i="8"/>
  <c r="R24" i="8" s="1"/>
  <c r="H25" i="17"/>
  <c r="R25" i="17" s="1"/>
  <c r="I26" i="16"/>
  <c r="S8" i="42"/>
  <c r="H25" i="25"/>
  <c r="R25" i="25" s="1"/>
  <c r="I26" i="24"/>
  <c r="AG8" i="42"/>
  <c r="E8" i="42" l="1"/>
  <c r="H25" i="8"/>
  <c r="R25" i="8" s="1"/>
  <c r="I26" i="2"/>
  <c r="H26" i="25"/>
  <c r="R26" i="25" s="1"/>
  <c r="I27" i="24"/>
  <c r="AF8" i="42"/>
  <c r="AK8" i="42"/>
  <c r="AM8" i="42"/>
  <c r="Y8" i="42"/>
  <c r="W8" i="42"/>
  <c r="R8" i="42"/>
  <c r="I27" i="16"/>
  <c r="H26" i="17"/>
  <c r="R26" i="17" s="1"/>
  <c r="I27" i="2" l="1"/>
  <c r="H26" i="8"/>
  <c r="R26" i="8" s="1"/>
  <c r="D8" i="42"/>
  <c r="F7" i="42"/>
  <c r="I8" i="42"/>
  <c r="H27" i="25"/>
  <c r="R27" i="25" s="1"/>
  <c r="I28" i="24"/>
  <c r="H27" i="17"/>
  <c r="R27" i="17" s="1"/>
  <c r="I28" i="16"/>
  <c r="H27" i="8" l="1"/>
  <c r="R27" i="8" s="1"/>
  <c r="I28" i="2"/>
  <c r="H28" i="17"/>
  <c r="R28" i="17" s="1"/>
  <c r="I29" i="16"/>
  <c r="H28" i="25"/>
  <c r="R28" i="25" s="1"/>
  <c r="I29" i="24"/>
  <c r="I29" i="2" l="1"/>
  <c r="H28" i="8"/>
  <c r="R28" i="8" s="1"/>
  <c r="H29" i="25"/>
  <c r="R29" i="25" s="1"/>
  <c r="I30" i="24"/>
  <c r="H29" i="17"/>
  <c r="R29" i="17" s="1"/>
  <c r="I30" i="16"/>
  <c r="H29" i="8" l="1"/>
  <c r="R29" i="8" s="1"/>
  <c r="I30" i="2"/>
  <c r="I31" i="24"/>
  <c r="H30" i="25"/>
  <c r="R30" i="25" s="1"/>
  <c r="H30" i="17"/>
  <c r="R30" i="17" s="1"/>
  <c r="I31" i="16"/>
  <c r="H30" i="8" l="1"/>
  <c r="R30" i="8" s="1"/>
  <c r="I31" i="2"/>
  <c r="H31" i="17"/>
  <c r="R31" i="17" s="1"/>
  <c r="I32" i="16"/>
  <c r="H31" i="25"/>
  <c r="R31" i="25" s="1"/>
  <c r="I32" i="24"/>
  <c r="I32" i="2" l="1"/>
  <c r="H31" i="8"/>
  <c r="R31" i="8" s="1"/>
  <c r="H32" i="25"/>
  <c r="R32" i="25" s="1"/>
  <c r="I33" i="24"/>
  <c r="H32" i="17"/>
  <c r="R32" i="17" s="1"/>
  <c r="I33" i="16"/>
  <c r="S9" i="42"/>
  <c r="AG9" i="42"/>
  <c r="E9" i="42" l="1"/>
  <c r="H32" i="8"/>
  <c r="R32" i="8" s="1"/>
  <c r="I33" i="2"/>
  <c r="R9" i="42"/>
  <c r="Y9" i="42"/>
  <c r="W9" i="42"/>
  <c r="H33" i="17"/>
  <c r="R33" i="17" s="1"/>
  <c r="I34" i="16"/>
  <c r="AF9" i="42"/>
  <c r="AM9" i="42"/>
  <c r="AK9" i="42"/>
  <c r="H33" i="25"/>
  <c r="R33" i="25" s="1"/>
  <c r="I34" i="24"/>
  <c r="H33" i="8" l="1"/>
  <c r="R33" i="8" s="1"/>
  <c r="I34" i="2"/>
  <c r="F8" i="42"/>
  <c r="D9" i="42"/>
  <c r="I9" i="42"/>
  <c r="H34" i="25"/>
  <c r="R34" i="25" s="1"/>
  <c r="I35" i="24"/>
  <c r="H34" i="17"/>
  <c r="R34" i="17" s="1"/>
  <c r="I35" i="16"/>
  <c r="H34" i="8" l="1"/>
  <c r="R34" i="8" s="1"/>
  <c r="I35" i="2"/>
  <c r="H35" i="25"/>
  <c r="R35" i="25" s="1"/>
  <c r="I36" i="24"/>
  <c r="H35" i="17"/>
  <c r="R35" i="17" s="1"/>
  <c r="I36" i="16"/>
  <c r="I36" i="2" l="1"/>
  <c r="H35" i="8"/>
  <c r="R35" i="8" s="1"/>
  <c r="H36" i="17"/>
  <c r="R36" i="17" s="1"/>
  <c r="I37" i="16"/>
  <c r="I37" i="24"/>
  <c r="H36" i="25"/>
  <c r="R36" i="25" s="1"/>
  <c r="H36" i="8" l="1"/>
  <c r="R36" i="8" s="1"/>
  <c r="I37" i="2"/>
  <c r="H37" i="17"/>
  <c r="R37" i="17" s="1"/>
  <c r="I38" i="16"/>
  <c r="H37" i="25"/>
  <c r="R37" i="25" s="1"/>
  <c r="I38" i="24"/>
  <c r="H37" i="8" l="1"/>
  <c r="R37" i="8" s="1"/>
  <c r="I38" i="2"/>
  <c r="H38" i="25"/>
  <c r="R38" i="25" s="1"/>
  <c r="I39" i="24"/>
  <c r="H38" i="17"/>
  <c r="R38" i="17" s="1"/>
  <c r="I39" i="16"/>
  <c r="I39" i="2" l="1"/>
  <c r="H38" i="8"/>
  <c r="R38" i="8" s="1"/>
  <c r="H39" i="17"/>
  <c r="R39" i="17" s="1"/>
  <c r="I40" i="16"/>
  <c r="S10" i="42"/>
  <c r="H39" i="25"/>
  <c r="R39" i="25" s="1"/>
  <c r="I40" i="24"/>
  <c r="AG10" i="42"/>
  <c r="E10" i="42" l="1"/>
  <c r="I40" i="2"/>
  <c r="H39" i="8"/>
  <c r="R39" i="8" s="1"/>
  <c r="H40" i="17"/>
  <c r="R40" i="17" s="1"/>
  <c r="I41" i="16"/>
  <c r="H40" i="25"/>
  <c r="R40" i="25" s="1"/>
  <c r="I41" i="24"/>
  <c r="AM10" i="42"/>
  <c r="AF10" i="42"/>
  <c r="AK10" i="42"/>
  <c r="Y10" i="42"/>
  <c r="W10" i="42"/>
  <c r="R10" i="42"/>
  <c r="F9" i="42" l="1"/>
  <c r="D10" i="42"/>
  <c r="I10" i="42"/>
  <c r="H40" i="8"/>
  <c r="R40" i="8" s="1"/>
  <c r="I41" i="2"/>
  <c r="H41" i="17"/>
  <c r="R41" i="17" s="1"/>
  <c r="I42" i="16"/>
  <c r="H41" i="25"/>
  <c r="R41" i="25" s="1"/>
  <c r="I42" i="24"/>
  <c r="H41" i="8" l="1"/>
  <c r="R41" i="8" s="1"/>
  <c r="I42" i="2"/>
  <c r="H42" i="17"/>
  <c r="R42" i="17" s="1"/>
  <c r="I43" i="16"/>
  <c r="H42" i="25"/>
  <c r="R42" i="25" s="1"/>
  <c r="I43" i="24"/>
  <c r="I43" i="2" l="1"/>
  <c r="H42" i="8"/>
  <c r="R42" i="8" s="1"/>
  <c r="H43" i="25"/>
  <c r="R43" i="25" s="1"/>
  <c r="I44" i="24"/>
  <c r="H43" i="17"/>
  <c r="R43" i="17" s="1"/>
  <c r="I44" i="16"/>
  <c r="H43" i="8" l="1"/>
  <c r="R43" i="8" s="1"/>
  <c r="I44" i="2"/>
  <c r="H44" i="17"/>
  <c r="R44" i="17" s="1"/>
  <c r="I45" i="16"/>
  <c r="I45" i="24"/>
  <c r="H44" i="25"/>
  <c r="R44" i="25" s="1"/>
  <c r="H44" i="8" l="1"/>
  <c r="R44" i="8" s="1"/>
  <c r="I45" i="2"/>
  <c r="H45" i="25"/>
  <c r="R45" i="25" s="1"/>
  <c r="I46" i="24"/>
  <c r="H45" i="17"/>
  <c r="R45" i="17" s="1"/>
  <c r="I46" i="16"/>
  <c r="H45" i="8" l="1"/>
  <c r="R45" i="8" s="1"/>
  <c r="I46" i="2"/>
  <c r="S11" i="42"/>
  <c r="H46" i="17"/>
  <c r="R46" i="17" s="1"/>
  <c r="I47" i="16"/>
  <c r="H46" i="25"/>
  <c r="R46" i="25" s="1"/>
  <c r="I47" i="24"/>
  <c r="AG11" i="42"/>
  <c r="I47" i="2" l="1"/>
  <c r="H46" i="8"/>
  <c r="R46" i="8" s="1"/>
  <c r="E11" i="42"/>
  <c r="H47" i="17"/>
  <c r="R47" i="17" s="1"/>
  <c r="I48" i="16"/>
  <c r="AK11" i="42"/>
  <c r="AF11" i="42"/>
  <c r="AM11" i="42"/>
  <c r="W11" i="42"/>
  <c r="Y11" i="42"/>
  <c r="R11" i="42"/>
  <c r="H47" i="25"/>
  <c r="R47" i="25" s="1"/>
  <c r="I48" i="24"/>
  <c r="I48" i="2" l="1"/>
  <c r="H47" i="8"/>
  <c r="R47" i="8" s="1"/>
  <c r="F10" i="42"/>
  <c r="D11" i="42"/>
  <c r="I11" i="42"/>
  <c r="H48" i="25"/>
  <c r="R48" i="25" s="1"/>
  <c r="I49" i="24"/>
  <c r="H48" i="17"/>
  <c r="R48" i="17" s="1"/>
  <c r="I49" i="16"/>
  <c r="H48" i="8" l="1"/>
  <c r="R48" i="8" s="1"/>
  <c r="I49" i="2"/>
  <c r="H49" i="25"/>
  <c r="R49" i="25" s="1"/>
  <c r="I50" i="24"/>
  <c r="H49" i="17"/>
  <c r="R49" i="17" s="1"/>
  <c r="I50" i="16"/>
  <c r="H49" i="8" l="1"/>
  <c r="R49" i="8" s="1"/>
  <c r="I50" i="2"/>
  <c r="H50" i="17"/>
  <c r="R50" i="17" s="1"/>
  <c r="I51" i="16"/>
  <c r="H50" i="25"/>
  <c r="R50" i="25" s="1"/>
  <c r="I51" i="24"/>
  <c r="I51" i="2" l="1"/>
  <c r="H50" i="8"/>
  <c r="R50" i="8" s="1"/>
  <c r="H51" i="25"/>
  <c r="R51" i="25" s="1"/>
  <c r="I52" i="24"/>
  <c r="H51" i="17"/>
  <c r="R51" i="17" s="1"/>
  <c r="I52" i="16"/>
  <c r="H51" i="8" l="1"/>
  <c r="R51" i="8" s="1"/>
  <c r="I52" i="2"/>
  <c r="H52" i="25"/>
  <c r="R52" i="25" s="1"/>
  <c r="I53" i="24"/>
  <c r="H52" i="17"/>
  <c r="R52" i="17" s="1"/>
  <c r="I53" i="16"/>
  <c r="I53" i="2" l="1"/>
  <c r="H52" i="8"/>
  <c r="R52" i="8" s="1"/>
  <c r="S12" i="42"/>
  <c r="H53" i="25"/>
  <c r="R53" i="25" s="1"/>
  <c r="I54" i="24"/>
  <c r="AG12" i="42"/>
  <c r="H53" i="17"/>
  <c r="R53" i="17" s="1"/>
  <c r="I54" i="16"/>
  <c r="E12" i="42" l="1"/>
  <c r="I54" i="2"/>
  <c r="H53" i="8"/>
  <c r="R53" i="8" s="1"/>
  <c r="AK12" i="42"/>
  <c r="AM12" i="42"/>
  <c r="AF12" i="42"/>
  <c r="H54" i="25"/>
  <c r="R54" i="25" s="1"/>
  <c r="I55" i="24"/>
  <c r="H54" i="17"/>
  <c r="R54" i="17" s="1"/>
  <c r="I55" i="16"/>
  <c r="R12" i="42"/>
  <c r="Y12" i="42"/>
  <c r="W12" i="42"/>
  <c r="H54" i="8" l="1"/>
  <c r="R54" i="8" s="1"/>
  <c r="I55" i="2"/>
  <c r="F11" i="42"/>
  <c r="I12" i="42"/>
  <c r="D12" i="42"/>
  <c r="H55" i="17"/>
  <c r="R55" i="17" s="1"/>
  <c r="I56" i="16"/>
  <c r="H55" i="25"/>
  <c r="R55" i="25" s="1"/>
  <c r="I56" i="24"/>
  <c r="H55" i="8" l="1"/>
  <c r="R55" i="8" s="1"/>
  <c r="I56" i="2"/>
  <c r="H56" i="17"/>
  <c r="R56" i="17" s="1"/>
  <c r="I57" i="16"/>
  <c r="H56" i="25"/>
  <c r="R56" i="25" s="1"/>
  <c r="I57" i="24"/>
  <c r="H56" i="8" l="1"/>
  <c r="R56" i="8" s="1"/>
  <c r="I57" i="2"/>
  <c r="H57" i="25"/>
  <c r="R57" i="25" s="1"/>
  <c r="I58" i="24"/>
  <c r="H57" i="17"/>
  <c r="R57" i="17" s="1"/>
  <c r="I58" i="16"/>
  <c r="I58" i="2" l="1"/>
  <c r="H57" i="8"/>
  <c r="R57" i="8" s="1"/>
  <c r="H58" i="17"/>
  <c r="R58" i="17" s="1"/>
  <c r="I59" i="16"/>
  <c r="H58" i="25"/>
  <c r="R58" i="25" s="1"/>
  <c r="I59" i="24"/>
  <c r="H58" i="8" l="1"/>
  <c r="R58" i="8" s="1"/>
  <c r="I59" i="2"/>
  <c r="H59" i="25"/>
  <c r="R59" i="25" s="1"/>
  <c r="I60" i="24"/>
  <c r="H59" i="17"/>
  <c r="R59" i="17" s="1"/>
  <c r="I60" i="16"/>
  <c r="H59" i="8" l="1"/>
  <c r="R59" i="8" s="1"/>
  <c r="I60" i="2"/>
  <c r="H60" i="17"/>
  <c r="R60" i="17" s="1"/>
  <c r="I61" i="16"/>
  <c r="S13" i="42"/>
  <c r="H60" i="25"/>
  <c r="R60" i="25" s="1"/>
  <c r="I61" i="24"/>
  <c r="AG13" i="42"/>
  <c r="H60" i="8" l="1"/>
  <c r="R60" i="8" s="1"/>
  <c r="I61" i="2"/>
  <c r="E13" i="42"/>
  <c r="AM13" i="42"/>
  <c r="AK13" i="42"/>
  <c r="AF13" i="42"/>
  <c r="H61" i="25"/>
  <c r="R61" i="25" s="1"/>
  <c r="I62" i="24"/>
  <c r="Y13" i="42"/>
  <c r="W13" i="42"/>
  <c r="R13" i="42"/>
  <c r="H61" i="17"/>
  <c r="R61" i="17" s="1"/>
  <c r="I62" i="16"/>
  <c r="F12" i="42" l="1"/>
  <c r="I13" i="42"/>
  <c r="D13" i="42"/>
  <c r="H61" i="8"/>
  <c r="R61" i="8" s="1"/>
  <c r="I62" i="2"/>
  <c r="H62" i="17"/>
  <c r="R62" i="17" s="1"/>
  <c r="I63" i="16"/>
  <c r="H62" i="25"/>
  <c r="R62" i="25" s="1"/>
  <c r="I63" i="24"/>
  <c r="I63" i="2" l="1"/>
  <c r="H62" i="8"/>
  <c r="R62" i="8" s="1"/>
  <c r="H63" i="17"/>
  <c r="R63" i="17" s="1"/>
  <c r="I64" i="16"/>
  <c r="H63" i="25"/>
  <c r="R63" i="25" s="1"/>
  <c r="I64" i="24"/>
  <c r="H63" i="8" l="1"/>
  <c r="R63" i="8" s="1"/>
  <c r="I64" i="2"/>
  <c r="H64" i="25"/>
  <c r="R64" i="25" s="1"/>
  <c r="I65" i="24"/>
  <c r="H64" i="17"/>
  <c r="R64" i="17" s="1"/>
  <c r="I65" i="16"/>
  <c r="I65" i="2" l="1"/>
  <c r="H64" i="8"/>
  <c r="R64" i="8" s="1"/>
  <c r="H65" i="17"/>
  <c r="R65" i="17" s="1"/>
  <c r="I66" i="16"/>
  <c r="H65" i="25"/>
  <c r="R65" i="25" s="1"/>
  <c r="I66" i="24"/>
  <c r="H65" i="8" l="1"/>
  <c r="R65" i="8" s="1"/>
  <c r="I66" i="2"/>
  <c r="H66" i="17"/>
  <c r="R66" i="17" s="1"/>
  <c r="I67" i="16"/>
  <c r="H66" i="25"/>
  <c r="R66" i="25" s="1"/>
  <c r="I67" i="24"/>
  <c r="H66" i="8" l="1"/>
  <c r="R66" i="8" s="1"/>
  <c r="I67" i="2"/>
  <c r="H67" i="17"/>
  <c r="R67" i="17" s="1"/>
  <c r="I68" i="16"/>
  <c r="S14" i="42"/>
  <c r="AG14" i="42"/>
  <c r="H67" i="25"/>
  <c r="R67" i="25" s="1"/>
  <c r="I68" i="24"/>
  <c r="H67" i="8" l="1"/>
  <c r="R67" i="8" s="1"/>
  <c r="I68" i="2"/>
  <c r="E14" i="42"/>
  <c r="H68" i="17"/>
  <c r="R68" i="17" s="1"/>
  <c r="I69" i="16"/>
  <c r="H68" i="25"/>
  <c r="R68" i="25" s="1"/>
  <c r="I69" i="24"/>
  <c r="AK14" i="42"/>
  <c r="AF14" i="42"/>
  <c r="AM14" i="42"/>
  <c r="R14" i="42"/>
  <c r="W14" i="42"/>
  <c r="Y14" i="42"/>
  <c r="I14" i="42" l="1"/>
  <c r="D14" i="42"/>
  <c r="F13" i="42"/>
  <c r="I69" i="2"/>
  <c r="H68" i="8"/>
  <c r="R68" i="8" s="1"/>
  <c r="H69" i="25"/>
  <c r="R69" i="25" s="1"/>
  <c r="I70" i="24"/>
  <c r="H69" i="17"/>
  <c r="R69" i="17" s="1"/>
  <c r="I70" i="16"/>
  <c r="H69" i="8" l="1"/>
  <c r="R69" i="8" s="1"/>
  <c r="I70" i="2"/>
  <c r="H70" i="25"/>
  <c r="R70" i="25" s="1"/>
  <c r="I71" i="24"/>
  <c r="H70" i="17"/>
  <c r="R70" i="17" s="1"/>
  <c r="I71" i="16"/>
  <c r="H70" i="8" l="1"/>
  <c r="R70" i="8" s="1"/>
  <c r="I71" i="2"/>
  <c r="H71" i="17"/>
  <c r="R71" i="17" s="1"/>
  <c r="I72" i="16"/>
  <c r="H71" i="25"/>
  <c r="R71" i="25" s="1"/>
  <c r="I72" i="24"/>
  <c r="H71" i="8" l="1"/>
  <c r="R71" i="8" s="1"/>
  <c r="I72" i="2"/>
  <c r="H72" i="25"/>
  <c r="R72" i="25" s="1"/>
  <c r="I73" i="24"/>
  <c r="H72" i="17"/>
  <c r="R72" i="17" s="1"/>
  <c r="I73" i="16"/>
  <c r="I73" i="2" l="1"/>
  <c r="H72" i="8"/>
  <c r="R72" i="8" s="1"/>
  <c r="H73" i="25"/>
  <c r="R73" i="25" s="1"/>
  <c r="I74" i="24"/>
  <c r="H73" i="17"/>
  <c r="R73" i="17" s="1"/>
  <c r="I74" i="16"/>
  <c r="H73" i="8" l="1"/>
  <c r="R73" i="8" s="1"/>
  <c r="I74" i="2"/>
  <c r="H74" i="17"/>
  <c r="R74" i="17" s="1"/>
  <c r="I75" i="16"/>
  <c r="H74" i="25"/>
  <c r="R74" i="25" s="1"/>
  <c r="I75" i="24"/>
  <c r="AG15" i="42"/>
  <c r="S15" i="42"/>
  <c r="I75" i="2" l="1"/>
  <c r="H74" i="8"/>
  <c r="R74" i="8" s="1"/>
  <c r="E15" i="42"/>
  <c r="AM15" i="42"/>
  <c r="AK15" i="42"/>
  <c r="AF15" i="42"/>
  <c r="H75" i="25"/>
  <c r="R75" i="25" s="1"/>
  <c r="I76" i="24"/>
  <c r="R15" i="42"/>
  <c r="Y15" i="42"/>
  <c r="W15" i="42"/>
  <c r="H75" i="17"/>
  <c r="R75" i="17" s="1"/>
  <c r="I76" i="16"/>
  <c r="I15" i="42" l="1"/>
  <c r="F14" i="42"/>
  <c r="D15" i="42"/>
  <c r="H75" i="8"/>
  <c r="R75" i="8" s="1"/>
  <c r="I76" i="2"/>
  <c r="H76" i="25"/>
  <c r="R76" i="25" s="1"/>
  <c r="I77" i="24"/>
  <c r="H76" i="17"/>
  <c r="R76" i="17" s="1"/>
  <c r="I77" i="16"/>
  <c r="H76" i="8" l="1"/>
  <c r="R76" i="8" s="1"/>
  <c r="I77" i="2"/>
  <c r="H77" i="17"/>
  <c r="R77" i="17" s="1"/>
  <c r="I78" i="16"/>
  <c r="H77" i="25"/>
  <c r="R77" i="25" s="1"/>
  <c r="I78" i="24"/>
  <c r="H77" i="8" l="1"/>
  <c r="R77" i="8" s="1"/>
  <c r="I78" i="2"/>
  <c r="H78" i="25"/>
  <c r="R78" i="25" s="1"/>
  <c r="I79" i="24"/>
  <c r="H78" i="17"/>
  <c r="R78" i="17" s="1"/>
  <c r="I79" i="16"/>
  <c r="I79" i="2" l="1"/>
  <c r="H78" i="8"/>
  <c r="R78" i="8" s="1"/>
  <c r="H79" i="25"/>
  <c r="R79" i="25" s="1"/>
  <c r="I80" i="24"/>
  <c r="H79" i="17"/>
  <c r="R79" i="17" s="1"/>
  <c r="I80" i="16"/>
  <c r="I80" i="2" l="1"/>
  <c r="H79" i="8"/>
  <c r="R79" i="8" s="1"/>
  <c r="H80" i="17"/>
  <c r="R80" i="17" s="1"/>
  <c r="I81" i="16"/>
  <c r="H80" i="25"/>
  <c r="R80" i="25" s="1"/>
  <c r="I81" i="24"/>
  <c r="H80" i="8" l="1"/>
  <c r="R80" i="8" s="1"/>
  <c r="I81" i="2"/>
  <c r="AG16" i="42"/>
  <c r="H81" i="25"/>
  <c r="R81" i="25" s="1"/>
  <c r="I82" i="24"/>
  <c r="H81" i="17"/>
  <c r="R81" i="17" s="1"/>
  <c r="I82" i="16"/>
  <c r="S16" i="42"/>
  <c r="H81" i="8" l="1"/>
  <c r="R81" i="8" s="1"/>
  <c r="I82" i="2"/>
  <c r="E16" i="42"/>
  <c r="H82" i="25"/>
  <c r="R82" i="25" s="1"/>
  <c r="I83" i="24"/>
  <c r="W16" i="42"/>
  <c r="Y16" i="42"/>
  <c r="R16" i="42"/>
  <c r="H82" i="17"/>
  <c r="R82" i="17" s="1"/>
  <c r="I83" i="16"/>
  <c r="AF16" i="42"/>
  <c r="AM16" i="42"/>
  <c r="AK16" i="42"/>
  <c r="I16" i="42" l="1"/>
  <c r="F15" i="42"/>
  <c r="D16" i="42"/>
  <c r="I83" i="2"/>
  <c r="H82" i="8"/>
  <c r="R82" i="8" s="1"/>
  <c r="H83" i="17"/>
  <c r="R83" i="17" s="1"/>
  <c r="I84" i="16"/>
  <c r="H83" i="25"/>
  <c r="R83" i="25" s="1"/>
  <c r="I84" i="24"/>
  <c r="I84" i="2" l="1"/>
  <c r="H83" i="8"/>
  <c r="R83" i="8" s="1"/>
  <c r="H84" i="17"/>
  <c r="R84" i="17" s="1"/>
  <c r="I85" i="16"/>
  <c r="H84" i="25"/>
  <c r="R84" i="25" s="1"/>
  <c r="I85" i="24"/>
  <c r="I85" i="2" l="1"/>
  <c r="H84" i="8"/>
  <c r="R84" i="8" s="1"/>
  <c r="H85" i="25"/>
  <c r="R85" i="25" s="1"/>
  <c r="I86" i="24"/>
  <c r="H85" i="17"/>
  <c r="R85" i="17" s="1"/>
  <c r="I86" i="16"/>
  <c r="H85" i="8" l="1"/>
  <c r="R85" i="8" s="1"/>
  <c r="I86" i="2"/>
  <c r="H86" i="17"/>
  <c r="R86" i="17" s="1"/>
  <c r="I87" i="16"/>
  <c r="H86" i="25"/>
  <c r="R86" i="25" s="1"/>
  <c r="I87" i="24"/>
  <c r="I87" i="2" l="1"/>
  <c r="H86" i="8"/>
  <c r="R86" i="8" s="1"/>
  <c r="H87" i="17"/>
  <c r="R87" i="17" s="1"/>
  <c r="I88" i="16"/>
  <c r="H87" i="25"/>
  <c r="R87" i="25" s="1"/>
  <c r="I88" i="24"/>
  <c r="H87" i="8" l="1"/>
  <c r="R87" i="8" s="1"/>
  <c r="I88" i="2"/>
  <c r="H88" i="25"/>
  <c r="R88" i="25" s="1"/>
  <c r="I89" i="24"/>
  <c r="H88" i="17"/>
  <c r="R88" i="17" s="1"/>
  <c r="I89" i="16"/>
  <c r="AG17" i="42"/>
  <c r="S17" i="42"/>
  <c r="E17" i="42" l="1"/>
  <c r="H88" i="8"/>
  <c r="R88" i="8" s="1"/>
  <c r="I89" i="2"/>
  <c r="H89" i="25"/>
  <c r="R89" i="25" s="1"/>
  <c r="I90" i="24"/>
  <c r="Y17" i="42"/>
  <c r="W17" i="42"/>
  <c r="R17" i="42"/>
  <c r="AM17" i="42"/>
  <c r="AK17" i="42"/>
  <c r="AF17" i="42"/>
  <c r="H89" i="17"/>
  <c r="R89" i="17" s="1"/>
  <c r="I90" i="16"/>
  <c r="I90" i="2" l="1"/>
  <c r="H89" i="8"/>
  <c r="R89" i="8" s="1"/>
  <c r="F16" i="42"/>
  <c r="I17" i="42"/>
  <c r="D17" i="42"/>
  <c r="H90" i="17"/>
  <c r="R90" i="17" s="1"/>
  <c r="I91" i="16"/>
  <c r="I91" i="24"/>
  <c r="H90" i="25"/>
  <c r="R90" i="25" s="1"/>
  <c r="H90" i="8" l="1"/>
  <c r="R90" i="8" s="1"/>
  <c r="I91" i="2"/>
  <c r="H91" i="17"/>
  <c r="R91" i="17" s="1"/>
  <c r="I92" i="16"/>
  <c r="H91" i="25"/>
  <c r="R91" i="25" s="1"/>
  <c r="I92" i="24"/>
  <c r="H91" i="8" l="1"/>
  <c r="R91" i="8" s="1"/>
  <c r="I92" i="2"/>
  <c r="H92" i="25"/>
  <c r="R92" i="25" s="1"/>
  <c r="I93" i="24"/>
  <c r="H92" i="17"/>
  <c r="R92" i="17" s="1"/>
  <c r="I93" i="16"/>
  <c r="H92" i="8" l="1"/>
  <c r="R92" i="8" s="1"/>
  <c r="I93" i="2"/>
  <c r="H93" i="17"/>
  <c r="R93" i="17" s="1"/>
  <c r="I94" i="16"/>
  <c r="H93" i="25"/>
  <c r="R93" i="25" s="1"/>
  <c r="I94" i="24"/>
  <c r="I94" i="2" l="1"/>
  <c r="H93" i="8"/>
  <c r="R93" i="8" s="1"/>
  <c r="H94" i="17"/>
  <c r="I95" i="16"/>
  <c r="H94" i="25"/>
  <c r="I95" i="24"/>
  <c r="I95" i="2" l="1"/>
  <c r="H94" i="8"/>
  <c r="R94" i="25"/>
  <c r="H95" i="17"/>
  <c r="R95" i="17" s="1"/>
  <c r="I96" i="16"/>
  <c r="R94" i="17"/>
  <c r="H95" i="25"/>
  <c r="R95" i="25" s="1"/>
  <c r="I96" i="24"/>
  <c r="R94" i="8" l="1"/>
  <c r="I96" i="2"/>
  <c r="H95" i="8"/>
  <c r="R95" i="8" s="1"/>
  <c r="S18" i="42"/>
  <c r="H96" i="17"/>
  <c r="I97" i="16"/>
  <c r="H96" i="25"/>
  <c r="R96" i="25" s="1"/>
  <c r="I97" i="24"/>
  <c r="AG18" i="42"/>
  <c r="R96" i="17" l="1"/>
  <c r="E18" i="42"/>
  <c r="I97" i="2"/>
  <c r="H96" i="8"/>
  <c r="AF18" i="42"/>
  <c r="AK18" i="42"/>
  <c r="AM18" i="42"/>
  <c r="H97" i="25"/>
  <c r="I98" i="24"/>
  <c r="Y18" i="42"/>
  <c r="W18" i="42"/>
  <c r="R18" i="42"/>
  <c r="H97" i="17"/>
  <c r="R97" i="17" s="1"/>
  <c r="I98" i="16"/>
  <c r="R97" i="25" l="1"/>
  <c r="R96" i="8"/>
  <c r="D18" i="42"/>
  <c r="I18" i="42"/>
  <c r="F17" i="42"/>
  <c r="H97" i="8"/>
  <c r="I98" i="2"/>
  <c r="H98" i="17"/>
  <c r="R98" i="17" s="1"/>
  <c r="I99" i="16"/>
  <c r="I99" i="24"/>
  <c r="H98" i="25"/>
  <c r="R98" i="25" s="1"/>
  <c r="R97" i="8" l="1"/>
  <c r="H98" i="8"/>
  <c r="R98" i="8" s="1"/>
  <c r="I99" i="2"/>
  <c r="H99" i="17"/>
  <c r="R99" i="17" s="1"/>
  <c r="I100" i="16"/>
  <c r="H99" i="25"/>
  <c r="R99" i="25" s="1"/>
  <c r="I100" i="24"/>
  <c r="H99" i="8" l="1"/>
  <c r="I100" i="2"/>
  <c r="H100" i="25"/>
  <c r="R100" i="25" s="1"/>
  <c r="I101" i="24"/>
  <c r="H100" i="17"/>
  <c r="R100" i="17" s="1"/>
  <c r="I101" i="16"/>
  <c r="R99" i="8" l="1"/>
  <c r="I101" i="2"/>
  <c r="H100" i="8"/>
  <c r="H101" i="25"/>
  <c r="R101" i="25" s="1"/>
  <c r="I102" i="24"/>
  <c r="I102" i="16"/>
  <c r="H101" i="17"/>
  <c r="R101" i="17" s="1"/>
  <c r="R100" i="8" l="1"/>
  <c r="I102" i="2"/>
  <c r="H101" i="8"/>
  <c r="AG19" i="42"/>
  <c r="S19" i="42"/>
  <c r="H102" i="17"/>
  <c r="R102" i="17" s="1"/>
  <c r="I103" i="16"/>
  <c r="H102" i="25"/>
  <c r="R102" i="25" s="1"/>
  <c r="I103" i="24"/>
  <c r="R101" i="8" l="1"/>
  <c r="E19" i="42" s="1"/>
  <c r="H102" i="8"/>
  <c r="I103" i="2"/>
  <c r="R19" i="42"/>
  <c r="W19" i="42"/>
  <c r="Y19" i="42"/>
  <c r="H103" i="25"/>
  <c r="R103" i="25" s="1"/>
  <c r="I104" i="24"/>
  <c r="H103" i="17"/>
  <c r="R103" i="17" s="1"/>
  <c r="I104" i="16"/>
  <c r="AF19" i="42"/>
  <c r="AM19" i="42"/>
  <c r="AK19" i="42"/>
  <c r="R102" i="8" l="1"/>
  <c r="I104" i="2"/>
  <c r="H103" i="8"/>
  <c r="R103" i="8" s="1"/>
  <c r="D19" i="42"/>
  <c r="I19" i="42"/>
  <c r="F18" i="42"/>
  <c r="H104" i="25"/>
  <c r="R104" i="25" s="1"/>
  <c r="I105" i="24"/>
  <c r="H104" i="17"/>
  <c r="R104" i="17" s="1"/>
  <c r="I105" i="16"/>
  <c r="H104" i="8" l="1"/>
  <c r="R104" i="8" s="1"/>
  <c r="I105" i="2"/>
  <c r="H105" i="17"/>
  <c r="R105" i="17" s="1"/>
  <c r="I106" i="16"/>
  <c r="H105" i="25"/>
  <c r="R105" i="25" s="1"/>
  <c r="I106" i="24"/>
  <c r="H105" i="8" l="1"/>
  <c r="R105" i="8" s="1"/>
  <c r="I106" i="2"/>
  <c r="H106" i="17"/>
  <c r="R106" i="17" s="1"/>
  <c r="I107" i="16"/>
  <c r="H106" i="25"/>
  <c r="R106" i="25" s="1"/>
  <c r="I107" i="24"/>
  <c r="H106" i="8" l="1"/>
  <c r="R106" i="8" s="1"/>
  <c r="I107" i="2"/>
  <c r="H107" i="25"/>
  <c r="R107" i="25" s="1"/>
  <c r="I108" i="24"/>
  <c r="H107" i="17"/>
  <c r="R107" i="17" s="1"/>
  <c r="I108" i="16"/>
  <c r="H107" i="8" l="1"/>
  <c r="R107" i="8" s="1"/>
  <c r="I108" i="2"/>
  <c r="H108" i="17"/>
  <c r="R108" i="17" s="1"/>
  <c r="I109" i="16"/>
  <c r="H108" i="25"/>
  <c r="R108" i="25" s="1"/>
  <c r="I109" i="24"/>
  <c r="H108" i="8" l="1"/>
  <c r="R108" i="8" s="1"/>
  <c r="I109" i="2"/>
  <c r="H109" i="25"/>
  <c r="R109" i="25" s="1"/>
  <c r="I110" i="24"/>
  <c r="AG20" i="42"/>
  <c r="H109" i="17"/>
  <c r="R109" i="17" s="1"/>
  <c r="I110" i="16"/>
  <c r="S20" i="42"/>
  <c r="H109" i="8" l="1"/>
  <c r="R109" i="8" s="1"/>
  <c r="I110" i="2"/>
  <c r="E20" i="42"/>
  <c r="AK20" i="42"/>
  <c r="AM20" i="42"/>
  <c r="AF20" i="42"/>
  <c r="Y20" i="42"/>
  <c r="W20" i="42"/>
  <c r="R20" i="42"/>
  <c r="H110" i="25"/>
  <c r="R110" i="25" s="1"/>
  <c r="I111" i="24"/>
  <c r="I111" i="16"/>
  <c r="H110" i="17"/>
  <c r="R110" i="17" s="1"/>
  <c r="I20" i="42" l="1"/>
  <c r="D20" i="42"/>
  <c r="F19" i="42"/>
  <c r="H110" i="8"/>
  <c r="R110" i="8" s="1"/>
  <c r="I111" i="2"/>
  <c r="I112" i="24"/>
  <c r="H111" i="25"/>
  <c r="R111" i="25" s="1"/>
  <c r="H111" i="17"/>
  <c r="R111" i="17" s="1"/>
  <c r="I112" i="16"/>
  <c r="H111" i="8" l="1"/>
  <c r="R111" i="8" s="1"/>
  <c r="I112" i="2"/>
  <c r="H112" i="17"/>
  <c r="R112" i="17" s="1"/>
  <c r="I113" i="16"/>
  <c r="H112" i="25"/>
  <c r="R112" i="25" s="1"/>
  <c r="I113" i="24"/>
  <c r="I113" i="2" l="1"/>
  <c r="H112" i="8"/>
  <c r="R112" i="8" s="1"/>
  <c r="H113" i="17"/>
  <c r="R113" i="17" s="1"/>
  <c r="I114" i="16"/>
  <c r="H113" i="25"/>
  <c r="R113" i="25" s="1"/>
  <c r="I114" i="24"/>
  <c r="H113" i="8" l="1"/>
  <c r="R113" i="8" s="1"/>
  <c r="I114" i="2"/>
  <c r="H114" i="25"/>
  <c r="R114" i="25" s="1"/>
  <c r="I115" i="24"/>
  <c r="H114" i="17"/>
  <c r="R114" i="17" s="1"/>
  <c r="I115" i="16"/>
  <c r="H114" i="8" l="1"/>
  <c r="R114" i="8" s="1"/>
  <c r="I115" i="2"/>
  <c r="I116" i="16"/>
  <c r="H115" i="17"/>
  <c r="R115" i="17" s="1"/>
  <c r="H115" i="25"/>
  <c r="R115" i="25" s="1"/>
  <c r="I116" i="24"/>
  <c r="H115" i="8" l="1"/>
  <c r="R115" i="8" s="1"/>
  <c r="I116" i="2"/>
  <c r="S21" i="42"/>
  <c r="H116" i="17"/>
  <c r="R116" i="17" s="1"/>
  <c r="I117" i="16"/>
  <c r="H116" i="25"/>
  <c r="R116" i="25" s="1"/>
  <c r="I117" i="24"/>
  <c r="AG21" i="42"/>
  <c r="H116" i="8" l="1"/>
  <c r="R116" i="8" s="1"/>
  <c r="I117" i="2"/>
  <c r="E21" i="42"/>
  <c r="H117" i="17"/>
  <c r="R117" i="17" s="1"/>
  <c r="I118" i="16"/>
  <c r="W21" i="42"/>
  <c r="Y21" i="42"/>
  <c r="R21" i="42"/>
  <c r="AM21" i="42"/>
  <c r="AK21" i="42"/>
  <c r="AF21" i="42"/>
  <c r="H117" i="25"/>
  <c r="R117" i="25" s="1"/>
  <c r="I118" i="24"/>
  <c r="I21" i="42" l="1"/>
  <c r="D21" i="42"/>
  <c r="F20" i="42"/>
  <c r="H117" i="8"/>
  <c r="R117" i="8" s="1"/>
  <c r="I118" i="2"/>
  <c r="H118" i="25"/>
  <c r="R118" i="25" s="1"/>
  <c r="I119" i="24"/>
  <c r="H118" i="17"/>
  <c r="R118" i="17" s="1"/>
  <c r="I119" i="16"/>
  <c r="I119" i="2" l="1"/>
  <c r="H118" i="8"/>
  <c r="R118" i="8" s="1"/>
  <c r="H119" i="17"/>
  <c r="R119" i="17" s="1"/>
  <c r="I120" i="16"/>
  <c r="I120" i="24"/>
  <c r="H119" i="25"/>
  <c r="R119" i="25" s="1"/>
  <c r="H119" i="8" l="1"/>
  <c r="R119" i="8" s="1"/>
  <c r="I120" i="2"/>
  <c r="H120" i="17"/>
  <c r="R120" i="17" s="1"/>
  <c r="I121" i="16"/>
  <c r="H120" i="25"/>
  <c r="R120" i="25" s="1"/>
  <c r="I121" i="24"/>
  <c r="I121" i="2" l="1"/>
  <c r="H120" i="8"/>
  <c r="R120" i="8" s="1"/>
  <c r="H121" i="25"/>
  <c r="R121" i="25" s="1"/>
  <c r="I122" i="24"/>
  <c r="H121" i="17"/>
  <c r="R121" i="17" s="1"/>
  <c r="I122" i="16"/>
  <c r="H121" i="8" l="1"/>
  <c r="R121" i="8" s="1"/>
  <c r="I122" i="2"/>
  <c r="H122" i="17"/>
  <c r="R122" i="17" s="1"/>
  <c r="I123" i="16"/>
  <c r="H122" i="25"/>
  <c r="R122" i="25" s="1"/>
  <c r="I123" i="24"/>
  <c r="I123" i="2" l="1"/>
  <c r="H122" i="8"/>
  <c r="R122" i="8" s="1"/>
  <c r="S22" i="42"/>
  <c r="H123" i="17"/>
  <c r="R123" i="17" s="1"/>
  <c r="I124" i="16"/>
  <c r="H123" i="25"/>
  <c r="R123" i="25" s="1"/>
  <c r="I124" i="24"/>
  <c r="AG22" i="42"/>
  <c r="E22" i="42" l="1"/>
  <c r="I124" i="2"/>
  <c r="H123" i="8"/>
  <c r="R123" i="8" s="1"/>
  <c r="H124" i="17"/>
  <c r="R124" i="17" s="1"/>
  <c r="I125" i="16"/>
  <c r="AF22" i="42"/>
  <c r="AM22" i="42"/>
  <c r="AK22" i="42"/>
  <c r="H124" i="25"/>
  <c r="R124" i="25" s="1"/>
  <c r="I125" i="24"/>
  <c r="R22" i="42"/>
  <c r="Y22" i="42"/>
  <c r="W22" i="42"/>
  <c r="H124" i="8" l="1"/>
  <c r="R124" i="8" s="1"/>
  <c r="I125" i="2"/>
  <c r="F21" i="42"/>
  <c r="D22" i="42"/>
  <c r="I22" i="42"/>
  <c r="H125" i="25"/>
  <c r="R125" i="25" s="1"/>
  <c r="I126" i="24"/>
  <c r="H125" i="17"/>
  <c r="R125" i="17" s="1"/>
  <c r="I126" i="16"/>
  <c r="I126" i="2" l="1"/>
  <c r="H125" i="8"/>
  <c r="R125" i="8" s="1"/>
  <c r="H126" i="25"/>
  <c r="R126" i="25" s="1"/>
  <c r="I127" i="24"/>
  <c r="H126" i="17"/>
  <c r="R126" i="17" s="1"/>
  <c r="I127" i="16"/>
  <c r="H126" i="8" l="1"/>
  <c r="R126" i="8" s="1"/>
  <c r="I127" i="2"/>
  <c r="H127" i="17"/>
  <c r="R127" i="17" s="1"/>
  <c r="I128" i="16"/>
  <c r="H127" i="25"/>
  <c r="R127" i="25" s="1"/>
  <c r="I128" i="24"/>
  <c r="I128" i="2" l="1"/>
  <c r="H127" i="8"/>
  <c r="R127" i="8" s="1"/>
  <c r="H128" i="25"/>
  <c r="R128" i="25" s="1"/>
  <c r="I129" i="24"/>
  <c r="H128" i="17"/>
  <c r="R128" i="17" s="1"/>
  <c r="I129" i="16"/>
  <c r="H128" i="8" l="1"/>
  <c r="R128" i="8" s="1"/>
  <c r="I129" i="2"/>
  <c r="H129" i="25"/>
  <c r="R129" i="25" s="1"/>
  <c r="I130" i="24"/>
  <c r="H129" i="17"/>
  <c r="R129" i="17" s="1"/>
  <c r="I130" i="16"/>
  <c r="H129" i="8" l="1"/>
  <c r="R129" i="8" s="1"/>
  <c r="I130" i="2"/>
  <c r="H130" i="17"/>
  <c r="R130" i="17" s="1"/>
  <c r="I131" i="16"/>
  <c r="H130" i="25"/>
  <c r="R130" i="25" s="1"/>
  <c r="I131" i="24"/>
  <c r="S23" i="42"/>
  <c r="AG23" i="42"/>
  <c r="H130" i="8" l="1"/>
  <c r="R130" i="8" s="1"/>
  <c r="I131" i="2"/>
  <c r="E23" i="42"/>
  <c r="H131" i="17"/>
  <c r="R131" i="17" s="1"/>
  <c r="I132" i="16"/>
  <c r="AF23" i="42"/>
  <c r="AK23" i="42"/>
  <c r="AM23" i="42"/>
  <c r="R23" i="42"/>
  <c r="Y23" i="42"/>
  <c r="W23" i="42"/>
  <c r="H131" i="25"/>
  <c r="R131" i="25" s="1"/>
  <c r="I132" i="24"/>
  <c r="I23" i="42" l="1"/>
  <c r="D23" i="42"/>
  <c r="F22" i="42"/>
  <c r="H131" i="8"/>
  <c r="R131" i="8" s="1"/>
  <c r="I132" i="2"/>
  <c r="H132" i="25"/>
  <c r="R132" i="25" s="1"/>
  <c r="I133" i="24"/>
  <c r="H132" i="17"/>
  <c r="R132" i="17" s="1"/>
  <c r="I133" i="16"/>
  <c r="H132" i="8" l="1"/>
  <c r="R132" i="8" s="1"/>
  <c r="I133" i="2"/>
  <c r="H133" i="17"/>
  <c r="R133" i="17" s="1"/>
  <c r="I134" i="16"/>
  <c r="H133" i="25"/>
  <c r="R133" i="25" s="1"/>
  <c r="I134" i="24"/>
  <c r="I134" i="2" l="1"/>
  <c r="H133" i="8"/>
  <c r="R133" i="8" s="1"/>
  <c r="H134" i="17"/>
  <c r="R134" i="17" s="1"/>
  <c r="I135" i="16"/>
  <c r="H134" i="25"/>
  <c r="R134" i="25" s="1"/>
  <c r="I135" i="24"/>
  <c r="I135" i="2" l="1"/>
  <c r="H134" i="8"/>
  <c r="R134" i="8" s="1"/>
  <c r="H135" i="25"/>
  <c r="R135" i="25" s="1"/>
  <c r="I136" i="24"/>
  <c r="H135" i="17"/>
  <c r="R135" i="17" s="1"/>
  <c r="I136" i="16"/>
  <c r="H135" i="8" l="1"/>
  <c r="R135" i="8" s="1"/>
  <c r="I136" i="2"/>
  <c r="I137" i="16"/>
  <c r="H136" i="17"/>
  <c r="R136" i="17" s="1"/>
  <c r="H136" i="25"/>
  <c r="R136" i="25" s="1"/>
  <c r="I137" i="24"/>
  <c r="H136" i="8" l="1"/>
  <c r="R136" i="8" s="1"/>
  <c r="I137" i="2"/>
  <c r="H137" i="25"/>
  <c r="R137" i="25" s="1"/>
  <c r="I138" i="24"/>
  <c r="S24" i="42"/>
  <c r="AG24" i="42"/>
  <c r="H137" i="17"/>
  <c r="R137" i="17" s="1"/>
  <c r="I138" i="16"/>
  <c r="H137" i="8" l="1"/>
  <c r="R137" i="8" s="1"/>
  <c r="I138" i="2"/>
  <c r="E24" i="42"/>
  <c r="H138" i="25"/>
  <c r="R138" i="25" s="1"/>
  <c r="I139" i="24"/>
  <c r="AF24" i="42"/>
  <c r="AM24" i="42"/>
  <c r="AK24" i="42"/>
  <c r="R24" i="42"/>
  <c r="W24" i="42"/>
  <c r="Y24" i="42"/>
  <c r="H138" i="17"/>
  <c r="R138" i="17" s="1"/>
  <c r="I139" i="16"/>
  <c r="I24" i="42" l="1"/>
  <c r="D24" i="42"/>
  <c r="F23" i="42"/>
  <c r="I139" i="2"/>
  <c r="H138" i="8"/>
  <c r="R138" i="8" s="1"/>
  <c r="H139" i="17"/>
  <c r="R139" i="17" s="1"/>
  <c r="I140" i="16"/>
  <c r="H139" i="25"/>
  <c r="R139" i="25" s="1"/>
  <c r="I140" i="24"/>
  <c r="H139" i="8" l="1"/>
  <c r="R139" i="8" s="1"/>
  <c r="I140" i="2"/>
  <c r="I141" i="24"/>
  <c r="H140" i="25"/>
  <c r="R140" i="25" s="1"/>
  <c r="H140" i="17"/>
  <c r="R140" i="17" s="1"/>
  <c r="I141" i="16"/>
  <c r="H140" i="8" l="1"/>
  <c r="I141" i="2"/>
  <c r="I142" i="24"/>
  <c r="H141" i="25"/>
  <c r="R141" i="25" s="1"/>
  <c r="H141" i="17"/>
  <c r="R141" i="17" s="1"/>
  <c r="I142" i="16"/>
  <c r="H141" i="8" l="1"/>
  <c r="R141" i="8" s="1"/>
  <c r="I142" i="2"/>
  <c r="R140" i="8"/>
  <c r="I143" i="16"/>
  <c r="H142" i="17"/>
  <c r="R142" i="17" s="1"/>
  <c r="H142" i="25"/>
  <c r="R142" i="25" s="1"/>
  <c r="I143" i="24"/>
  <c r="H142" i="8" l="1"/>
  <c r="I143" i="2"/>
  <c r="H143" i="25"/>
  <c r="R143" i="25" s="1"/>
  <c r="I144" i="24"/>
  <c r="H143" i="17"/>
  <c r="R143" i="17" s="1"/>
  <c r="I144" i="16"/>
  <c r="R142" i="8" l="1"/>
  <c r="I144" i="2"/>
  <c r="H143" i="8"/>
  <c r="R143" i="8" s="1"/>
  <c r="S25" i="42"/>
  <c r="H144" i="17"/>
  <c r="R144" i="17" s="1"/>
  <c r="I145" i="16"/>
  <c r="H144" i="25"/>
  <c r="R144" i="25" s="1"/>
  <c r="I145" i="24"/>
  <c r="AG25" i="42"/>
  <c r="E25" i="42" l="1"/>
  <c r="H144" i="8"/>
  <c r="R144" i="8" s="1"/>
  <c r="I145" i="2"/>
  <c r="H145" i="17"/>
  <c r="R145" i="17" s="1"/>
  <c r="I146" i="16"/>
  <c r="R25" i="42"/>
  <c r="W25" i="42"/>
  <c r="Y25" i="42"/>
  <c r="AM25" i="42"/>
  <c r="AK25" i="42"/>
  <c r="AF25" i="42"/>
  <c r="H145" i="25"/>
  <c r="R145" i="25" s="1"/>
  <c r="I146" i="24"/>
  <c r="I146" i="2" l="1"/>
  <c r="H145" i="8"/>
  <c r="R145" i="8" s="1"/>
  <c r="I25" i="42"/>
  <c r="D25" i="42"/>
  <c r="F24" i="42"/>
  <c r="H146" i="25"/>
  <c r="R146" i="25" s="1"/>
  <c r="I147" i="24"/>
  <c r="H146" i="17"/>
  <c r="R146" i="17" s="1"/>
  <c r="I147" i="16"/>
  <c r="I147" i="2" l="1"/>
  <c r="H146" i="8"/>
  <c r="H147" i="17"/>
  <c r="R147" i="17" s="1"/>
  <c r="I148" i="16"/>
  <c r="H147" i="25"/>
  <c r="R147" i="25" s="1"/>
  <c r="I148" i="24"/>
  <c r="R146" i="8" l="1"/>
  <c r="H147" i="8"/>
  <c r="R147" i="8" s="1"/>
  <c r="I148" i="2"/>
  <c r="H148" i="25"/>
  <c r="R148" i="25" s="1"/>
  <c r="I149" i="24"/>
  <c r="H148" i="17"/>
  <c r="R148" i="17" s="1"/>
  <c r="I149" i="16"/>
  <c r="I149" i="2" l="1"/>
  <c r="H148" i="8"/>
  <c r="R148" i="8" s="1"/>
  <c r="H149" i="17"/>
  <c r="R149" i="17" s="1"/>
  <c r="I150" i="16"/>
  <c r="H149" i="25"/>
  <c r="R149" i="25" s="1"/>
  <c r="I150" i="24"/>
  <c r="H149" i="8" l="1"/>
  <c r="R149" i="8" s="1"/>
  <c r="I150" i="2"/>
  <c r="H150" i="25"/>
  <c r="R150" i="25" s="1"/>
  <c r="I151" i="24"/>
  <c r="H150" i="17"/>
  <c r="R150" i="17" s="1"/>
  <c r="I151" i="16"/>
  <c r="I151" i="2" l="1"/>
  <c r="H150" i="8"/>
  <c r="R150" i="8" s="1"/>
  <c r="H151" i="17"/>
  <c r="R151" i="17" s="1"/>
  <c r="I152" i="16"/>
  <c r="I152" i="24"/>
  <c r="H151" i="25"/>
  <c r="R151" i="25" s="1"/>
  <c r="AG26" i="42"/>
  <c r="S26" i="42"/>
  <c r="E26" i="42" l="1"/>
  <c r="I152" i="2"/>
  <c r="H151" i="8"/>
  <c r="R151" i="8" s="1"/>
  <c r="Y26" i="42"/>
  <c r="W26" i="42"/>
  <c r="R26" i="42"/>
  <c r="AK26" i="42"/>
  <c r="AM26" i="42"/>
  <c r="AF26" i="42"/>
  <c r="H152" i="25"/>
  <c r="R152" i="25" s="1"/>
  <c r="I153" i="24"/>
  <c r="H152" i="17"/>
  <c r="R152" i="17" s="1"/>
  <c r="I153" i="16"/>
  <c r="I153" i="2" l="1"/>
  <c r="H152" i="8"/>
  <c r="R152" i="8" s="1"/>
  <c r="F25" i="42"/>
  <c r="I26" i="42"/>
  <c r="D26" i="42"/>
  <c r="H153" i="25"/>
  <c r="R153" i="25" s="1"/>
  <c r="I154" i="24"/>
  <c r="H153" i="17"/>
  <c r="R153" i="17" s="1"/>
  <c r="I154" i="16"/>
  <c r="H153" i="8" l="1"/>
  <c r="R153" i="8" s="1"/>
  <c r="I154" i="2"/>
  <c r="H154" i="17"/>
  <c r="R154" i="17" s="1"/>
  <c r="I155" i="16"/>
  <c r="H154" i="25"/>
  <c r="R154" i="25" s="1"/>
  <c r="I155" i="24"/>
  <c r="H154" i="8" l="1"/>
  <c r="R154" i="8" s="1"/>
  <c r="I155" i="2"/>
  <c r="H155" i="25"/>
  <c r="R155" i="25" s="1"/>
  <c r="I156" i="24"/>
  <c r="H155" i="17"/>
  <c r="R155" i="17" s="1"/>
  <c r="I156" i="16"/>
  <c r="I156" i="2" l="1"/>
  <c r="H155" i="8"/>
  <c r="R155" i="8" s="1"/>
  <c r="H156" i="25"/>
  <c r="R156" i="25" s="1"/>
  <c r="I157" i="24"/>
  <c r="H156" i="17"/>
  <c r="R156" i="17" s="1"/>
  <c r="I157" i="16"/>
  <c r="I157" i="2" l="1"/>
  <c r="H156" i="8"/>
  <c r="R156" i="8" s="1"/>
  <c r="H157" i="17"/>
  <c r="R157" i="17" s="1"/>
  <c r="I158" i="16"/>
  <c r="H157" i="25"/>
  <c r="R157" i="25" s="1"/>
  <c r="I158" i="24"/>
  <c r="H157" i="8" l="1"/>
  <c r="R157" i="8" s="1"/>
  <c r="I158" i="2"/>
  <c r="H158" i="25"/>
  <c r="R158" i="25" s="1"/>
  <c r="I159" i="24"/>
  <c r="S27" i="42"/>
  <c r="H158" i="17"/>
  <c r="R158" i="17" s="1"/>
  <c r="I159" i="16"/>
  <c r="AG27" i="42"/>
  <c r="H158" i="8" l="1"/>
  <c r="R158" i="8" s="1"/>
  <c r="I159" i="2"/>
  <c r="E27" i="42"/>
  <c r="H159" i="17"/>
  <c r="R159" i="17" s="1"/>
  <c r="I160" i="16"/>
  <c r="R27" i="42"/>
  <c r="W27" i="42"/>
  <c r="Y27" i="42"/>
  <c r="AF27" i="42"/>
  <c r="AK27" i="42"/>
  <c r="AM27" i="42"/>
  <c r="I160" i="24"/>
  <c r="H159" i="25"/>
  <c r="R159" i="25" s="1"/>
  <c r="F26" i="42" l="1"/>
  <c r="D27" i="42"/>
  <c r="I27" i="42"/>
  <c r="H159" i="8"/>
  <c r="R159" i="8" s="1"/>
  <c r="I160" i="2"/>
  <c r="H160" i="17"/>
  <c r="R160" i="17" s="1"/>
  <c r="I161" i="16"/>
  <c r="H160" i="25"/>
  <c r="R160" i="25" s="1"/>
  <c r="I161" i="24"/>
  <c r="H160" i="8" l="1"/>
  <c r="R160" i="8" s="1"/>
  <c r="I161" i="2"/>
  <c r="H161" i="17"/>
  <c r="R161" i="17" s="1"/>
  <c r="I162" i="16"/>
  <c r="H161" i="25"/>
  <c r="R161" i="25" s="1"/>
  <c r="I162" i="24"/>
  <c r="H161" i="8" l="1"/>
  <c r="R161" i="8" s="1"/>
  <c r="I162" i="2"/>
  <c r="H162" i="25"/>
  <c r="R162" i="25" s="1"/>
  <c r="I163" i="24"/>
  <c r="I163" i="16"/>
  <c r="H162" i="17"/>
  <c r="R162" i="17" s="1"/>
  <c r="H162" i="8" l="1"/>
  <c r="R162" i="8" s="1"/>
  <c r="I163" i="2"/>
  <c r="H163" i="17"/>
  <c r="I164" i="16"/>
  <c r="H163" i="25"/>
  <c r="I164" i="24"/>
  <c r="R163" i="25" l="1"/>
  <c r="R163" i="17"/>
  <c r="H163" i="8"/>
  <c r="I164" i="2"/>
  <c r="I165" i="16"/>
  <c r="H164" i="17"/>
  <c r="R164" i="17" s="1"/>
  <c r="H164" i="25"/>
  <c r="R164" i="25" s="1"/>
  <c r="I165" i="24"/>
  <c r="H164" i="8" l="1"/>
  <c r="R164" i="8" s="1"/>
  <c r="I165" i="2"/>
  <c r="R163" i="8"/>
  <c r="I166" i="24"/>
  <c r="H165" i="25"/>
  <c r="R165" i="25" s="1"/>
  <c r="AG28" i="42"/>
  <c r="S28" i="42"/>
  <c r="I166" i="16"/>
  <c r="H165" i="17"/>
  <c r="R165" i="17" s="1"/>
  <c r="H165" i="8" l="1"/>
  <c r="I166" i="2"/>
  <c r="E28" i="42"/>
  <c r="H166" i="17"/>
  <c r="R166" i="17" s="1"/>
  <c r="I167" i="16"/>
  <c r="W28" i="42"/>
  <c r="R28" i="42"/>
  <c r="Y28" i="42"/>
  <c r="AF28" i="42"/>
  <c r="AM28" i="42"/>
  <c r="AK28" i="42"/>
  <c r="I167" i="24"/>
  <c r="H166" i="25"/>
  <c r="R166" i="25" s="1"/>
  <c r="R165" i="8" l="1"/>
  <c r="I167" i="2"/>
  <c r="H166" i="8"/>
  <c r="R166" i="8" s="1"/>
  <c r="I28" i="42"/>
  <c r="F27" i="42"/>
  <c r="D28" i="42"/>
  <c r="H167" i="17"/>
  <c r="R167" i="17" s="1"/>
  <c r="I168" i="16"/>
  <c r="H167" i="25"/>
  <c r="R167" i="25" s="1"/>
  <c r="I168" i="24"/>
  <c r="H167" i="8" l="1"/>
  <c r="I168" i="2"/>
  <c r="H168" i="25"/>
  <c r="R168" i="25" s="1"/>
  <c r="I169" i="24"/>
  <c r="H168" i="17"/>
  <c r="R168" i="17" s="1"/>
  <c r="I169" i="16"/>
  <c r="R167" i="8" l="1"/>
  <c r="H168" i="8"/>
  <c r="I169" i="2"/>
  <c r="H169" i="25"/>
  <c r="I170" i="24"/>
  <c r="I170" i="16"/>
  <c r="H169" i="17"/>
  <c r="I171" i="24" l="1"/>
  <c r="H170" i="25"/>
  <c r="R170" i="25" s="1"/>
  <c r="I171" i="16"/>
  <c r="H170" i="17"/>
  <c r="R170" i="17" s="1"/>
  <c r="I170" i="2"/>
  <c r="H169" i="8"/>
  <c r="R168" i="8"/>
  <c r="R169" i="17"/>
  <c r="R169" i="25"/>
  <c r="I171" i="2" l="1"/>
  <c r="H170" i="8"/>
  <c r="R170" i="8" s="1"/>
  <c r="I172" i="16"/>
  <c r="H171" i="17"/>
  <c r="I172" i="24"/>
  <c r="H171" i="25"/>
  <c r="R169" i="8"/>
  <c r="R171" i="25" l="1"/>
  <c r="I173" i="24"/>
  <c r="H172" i="25"/>
  <c r="R172" i="25" s="1"/>
  <c r="R171" i="17"/>
  <c r="I173" i="16"/>
  <c r="H172" i="17"/>
  <c r="R172" i="17" s="1"/>
  <c r="I172" i="2"/>
  <c r="H171" i="8"/>
  <c r="R171" i="8" l="1"/>
  <c r="S29" i="42"/>
  <c r="I173" i="2"/>
  <c r="H172" i="8"/>
  <c r="R172" i="8" s="1"/>
  <c r="I174" i="24"/>
  <c r="H173" i="25"/>
  <c r="I174" i="16"/>
  <c r="H173" i="17"/>
  <c r="AG29" i="42"/>
  <c r="AK29" i="42" l="1"/>
  <c r="AM29" i="42"/>
  <c r="AF29" i="42"/>
  <c r="I174" i="2"/>
  <c r="H173" i="8"/>
  <c r="R173" i="8" s="1"/>
  <c r="Y29" i="42"/>
  <c r="W29" i="42"/>
  <c r="R29" i="42"/>
  <c r="R173" i="17"/>
  <c r="R173" i="25"/>
  <c r="E29" i="42"/>
  <c r="I175" i="16"/>
  <c r="H174" i="17"/>
  <c r="R174" i="17" s="1"/>
  <c r="I175" i="24"/>
  <c r="H174" i="25"/>
  <c r="R174" i="25" s="1"/>
  <c r="G49" i="34"/>
  <c r="E49" i="34" s="1"/>
  <c r="E6" i="34"/>
  <c r="G5" i="34" s="1"/>
  <c r="F28" i="42" l="1"/>
  <c r="I29" i="42"/>
  <c r="D29" i="42"/>
  <c r="I175" i="2"/>
  <c r="H174" i="8"/>
  <c r="I176" i="24"/>
  <c r="H175" i="25"/>
  <c r="I176" i="16"/>
  <c r="H175" i="17"/>
  <c r="F5" i="34"/>
  <c r="G23" i="34"/>
  <c r="J23" i="34" s="1"/>
  <c r="G36" i="34"/>
  <c r="J36" i="34" s="1"/>
  <c r="G13" i="34"/>
  <c r="J13" i="34" s="1"/>
  <c r="G7" i="34"/>
  <c r="J7" i="34" s="1"/>
  <c r="G16" i="34"/>
  <c r="J16" i="34" s="1"/>
  <c r="G9" i="34"/>
  <c r="J9" i="34" s="1"/>
  <c r="G38" i="34"/>
  <c r="J38" i="34" s="1"/>
  <c r="G21" i="34"/>
  <c r="J21" i="34" s="1"/>
  <c r="G41" i="34"/>
  <c r="J41" i="34" s="1"/>
  <c r="G15" i="34"/>
  <c r="J15" i="34" s="1"/>
  <c r="G37" i="34"/>
  <c r="J37" i="34" s="1"/>
  <c r="G19" i="34"/>
  <c r="J19" i="34" s="1"/>
  <c r="G34" i="34"/>
  <c r="J34" i="34" s="1"/>
  <c r="G39" i="34"/>
  <c r="J39" i="34" s="1"/>
  <c r="G43" i="34"/>
  <c r="J43" i="34" s="1"/>
  <c r="G40" i="34"/>
  <c r="J40" i="34" s="1"/>
  <c r="G22" i="34"/>
  <c r="J22" i="34" s="1"/>
  <c r="G26" i="34"/>
  <c r="J26" i="34" s="1"/>
  <c r="G28" i="34"/>
  <c r="J28" i="34" s="1"/>
  <c r="G10" i="34"/>
  <c r="J10" i="34" s="1"/>
  <c r="G27" i="34"/>
  <c r="J27" i="34" s="1"/>
  <c r="G32" i="34"/>
  <c r="J32" i="34" s="1"/>
  <c r="G33" i="34"/>
  <c r="J33" i="34" s="1"/>
  <c r="G24" i="34"/>
  <c r="J24" i="34" s="1"/>
  <c r="G29" i="34"/>
  <c r="J29" i="34" s="1"/>
  <c r="G17" i="34"/>
  <c r="J17" i="34" s="1"/>
  <c r="G14" i="34"/>
  <c r="J14" i="34" s="1"/>
  <c r="G20" i="34"/>
  <c r="J20" i="34" s="1"/>
  <c r="G18" i="34"/>
  <c r="J18" i="34" s="1"/>
  <c r="G11" i="34"/>
  <c r="J11" i="34" s="1"/>
  <c r="G12" i="34"/>
  <c r="J12" i="34" s="1"/>
  <c r="G46" i="34"/>
  <c r="J46" i="34" s="1"/>
  <c r="G31" i="34"/>
  <c r="J31" i="34" s="1"/>
  <c r="G8" i="34"/>
  <c r="J8" i="34" s="1"/>
  <c r="G42" i="34"/>
  <c r="J42" i="34" s="1"/>
  <c r="G30" i="34"/>
  <c r="J30" i="34" s="1"/>
  <c r="G44" i="34"/>
  <c r="J44" i="34" s="1"/>
  <c r="G35" i="34"/>
  <c r="J35" i="34" s="1"/>
  <c r="G48" i="34"/>
  <c r="G54" i="34" s="1"/>
  <c r="G45" i="34"/>
  <c r="J45" i="34" s="1"/>
  <c r="G25" i="34"/>
  <c r="J25" i="34" s="1"/>
  <c r="G47" i="34"/>
  <c r="F11" i="34"/>
  <c r="I11" i="34" s="1"/>
  <c r="F45" i="34"/>
  <c r="I45" i="34" s="1"/>
  <c r="F46" i="34"/>
  <c r="I46" i="34" s="1"/>
  <c r="F8" i="34"/>
  <c r="I8" i="34" s="1"/>
  <c r="F24" i="34"/>
  <c r="I24" i="34" s="1"/>
  <c r="F19" i="34"/>
  <c r="I19" i="34" s="1"/>
  <c r="F29" i="34"/>
  <c r="I29" i="34" s="1"/>
  <c r="F42" i="34"/>
  <c r="I42" i="34" s="1"/>
  <c r="F9" i="34"/>
  <c r="I9" i="34" s="1"/>
  <c r="F23" i="34"/>
  <c r="I23" i="34" s="1"/>
  <c r="F31" i="34"/>
  <c r="I31" i="34" s="1"/>
  <c r="F40" i="34"/>
  <c r="I40" i="34" s="1"/>
  <c r="F20" i="34"/>
  <c r="I20" i="34" s="1"/>
  <c r="F41" i="34"/>
  <c r="I41" i="34" s="1"/>
  <c r="F22" i="34"/>
  <c r="I22" i="34" s="1"/>
  <c r="F18" i="34"/>
  <c r="I18" i="34" s="1"/>
  <c r="F38" i="34"/>
  <c r="I38" i="34" s="1"/>
  <c r="F44" i="34"/>
  <c r="I44" i="34" s="1"/>
  <c r="F15" i="34"/>
  <c r="I15" i="34" s="1"/>
  <c r="F30" i="34"/>
  <c r="I30" i="34" s="1"/>
  <c r="F33" i="34"/>
  <c r="I33" i="34" s="1"/>
  <c r="F21" i="34"/>
  <c r="I21" i="34" s="1"/>
  <c r="F27" i="34"/>
  <c r="I27" i="34" s="1"/>
  <c r="F25" i="34"/>
  <c r="I25" i="34" s="1"/>
  <c r="F43" i="34"/>
  <c r="I43" i="34" s="1"/>
  <c r="F7" i="34"/>
  <c r="I7" i="34" s="1"/>
  <c r="F17" i="34"/>
  <c r="I17" i="34" s="1"/>
  <c r="F32" i="34"/>
  <c r="I32" i="34" s="1"/>
  <c r="F47" i="34"/>
  <c r="F16" i="34"/>
  <c r="I16" i="34" s="1"/>
  <c r="F26" i="34"/>
  <c r="I26" i="34" s="1"/>
  <c r="E5" i="34"/>
  <c r="F48" i="34"/>
  <c r="F34" i="34"/>
  <c r="I34" i="34" s="1"/>
  <c r="F13" i="34"/>
  <c r="I13" i="34" s="1"/>
  <c r="F39" i="34"/>
  <c r="I39" i="34" s="1"/>
  <c r="F37" i="34"/>
  <c r="I37" i="34" s="1"/>
  <c r="F10" i="34"/>
  <c r="I10" i="34" s="1"/>
  <c r="F35" i="34"/>
  <c r="I35" i="34" s="1"/>
  <c r="F12" i="34"/>
  <c r="I12" i="34" s="1"/>
  <c r="F36" i="34"/>
  <c r="I36" i="34" s="1"/>
  <c r="F14" i="34"/>
  <c r="I14" i="34" s="1"/>
  <c r="F28" i="34"/>
  <c r="I28" i="34" s="1"/>
  <c r="G55" i="34"/>
  <c r="R175" i="25" l="1"/>
  <c r="I177" i="24"/>
  <c r="H176" i="25"/>
  <c r="R176" i="25" s="1"/>
  <c r="R175" i="17"/>
  <c r="R174" i="8"/>
  <c r="I177" i="16"/>
  <c r="H176" i="17"/>
  <c r="I176" i="2"/>
  <c r="H175" i="8"/>
  <c r="R175" i="8" s="1"/>
  <c r="I47" i="34"/>
  <c r="I52" i="34" s="1"/>
  <c r="F52" i="34"/>
  <c r="J48" i="34"/>
  <c r="G53" i="34"/>
  <c r="F54" i="34"/>
  <c r="F53" i="34"/>
  <c r="I48" i="34"/>
  <c r="E32" i="34"/>
  <c r="H32" i="34" s="1"/>
  <c r="J32" i="13" s="1"/>
  <c r="E15" i="34"/>
  <c r="H15" i="34" s="1"/>
  <c r="J15" i="13" s="1"/>
  <c r="E39" i="34"/>
  <c r="H39" i="34" s="1"/>
  <c r="J39" i="13" s="1"/>
  <c r="E29" i="34"/>
  <c r="H29" i="34" s="1"/>
  <c r="J29" i="13" s="1"/>
  <c r="E48" i="34"/>
  <c r="E44" i="34"/>
  <c r="H44" i="34" s="1"/>
  <c r="J44" i="13" s="1"/>
  <c r="E11" i="34"/>
  <c r="H11" i="34" s="1"/>
  <c r="J11" i="13" s="1"/>
  <c r="E30" i="34"/>
  <c r="H30" i="34" s="1"/>
  <c r="J30" i="13" s="1"/>
  <c r="E26" i="34"/>
  <c r="H26" i="34" s="1"/>
  <c r="J26" i="13" s="1"/>
  <c r="E46" i="34"/>
  <c r="H46" i="34" s="1"/>
  <c r="J46" i="13" s="1"/>
  <c r="E9" i="34"/>
  <c r="H9" i="34" s="1"/>
  <c r="J9" i="13" s="1"/>
  <c r="E10" i="34"/>
  <c r="H10" i="34" s="1"/>
  <c r="J10" i="13" s="1"/>
  <c r="E18" i="34"/>
  <c r="H18" i="34" s="1"/>
  <c r="J18" i="13" s="1"/>
  <c r="E14" i="34"/>
  <c r="H14" i="34" s="1"/>
  <c r="J14" i="13" s="1"/>
  <c r="E38" i="34"/>
  <c r="H38" i="34" s="1"/>
  <c r="J38" i="13" s="1"/>
  <c r="E12" i="34"/>
  <c r="H12" i="34" s="1"/>
  <c r="J12" i="13" s="1"/>
  <c r="E42" i="34"/>
  <c r="H42" i="34" s="1"/>
  <c r="J42" i="13" s="1"/>
  <c r="E19" i="34"/>
  <c r="H19" i="34" s="1"/>
  <c r="J19" i="13" s="1"/>
  <c r="E23" i="34"/>
  <c r="H23" i="34" s="1"/>
  <c r="J23" i="13" s="1"/>
  <c r="E16" i="34"/>
  <c r="H16" i="34" s="1"/>
  <c r="J16" i="13" s="1"/>
  <c r="E41" i="34"/>
  <c r="H41" i="34" s="1"/>
  <c r="J41" i="13" s="1"/>
  <c r="E37" i="34"/>
  <c r="H37" i="34" s="1"/>
  <c r="J37" i="13" s="1"/>
  <c r="E35" i="34"/>
  <c r="H35" i="34" s="1"/>
  <c r="J35" i="13" s="1"/>
  <c r="E21" i="34"/>
  <c r="H21" i="34" s="1"/>
  <c r="J21" i="13" s="1"/>
  <c r="E24" i="34"/>
  <c r="H24" i="34" s="1"/>
  <c r="J24" i="13" s="1"/>
  <c r="E20" i="34"/>
  <c r="H20" i="34" s="1"/>
  <c r="J20" i="13" s="1"/>
  <c r="E43" i="34"/>
  <c r="H43" i="34" s="1"/>
  <c r="J43" i="13" s="1"/>
  <c r="E22" i="34"/>
  <c r="H22" i="34" s="1"/>
  <c r="J22" i="13" s="1"/>
  <c r="E8" i="34"/>
  <c r="H8" i="34" s="1"/>
  <c r="J8" i="13" s="1"/>
  <c r="E7" i="34"/>
  <c r="H7" i="34" s="1"/>
  <c r="J7" i="13" s="1"/>
  <c r="E27" i="34"/>
  <c r="H27" i="34" s="1"/>
  <c r="J27" i="13" s="1"/>
  <c r="E40" i="34"/>
  <c r="H40" i="34" s="1"/>
  <c r="J40" i="13" s="1"/>
  <c r="E36" i="34"/>
  <c r="H36" i="34" s="1"/>
  <c r="J36" i="13" s="1"/>
  <c r="E31" i="34"/>
  <c r="H31" i="34" s="1"/>
  <c r="J31" i="13" s="1"/>
  <c r="E45" i="34"/>
  <c r="H45" i="34" s="1"/>
  <c r="J45" i="13" s="1"/>
  <c r="E13" i="34"/>
  <c r="H13" i="34" s="1"/>
  <c r="J13" i="13" s="1"/>
  <c r="E33" i="34"/>
  <c r="H33" i="34" s="1"/>
  <c r="J33" i="13" s="1"/>
  <c r="E28" i="34"/>
  <c r="H28" i="34" s="1"/>
  <c r="J28" i="13" s="1"/>
  <c r="E34" i="34"/>
  <c r="H34" i="34" s="1"/>
  <c r="J34" i="13" s="1"/>
  <c r="E25" i="34"/>
  <c r="H25" i="34" s="1"/>
  <c r="J25" i="13" s="1"/>
  <c r="E47" i="34"/>
  <c r="E17" i="34"/>
  <c r="H17" i="34" s="1"/>
  <c r="J17" i="13" s="1"/>
  <c r="J47" i="34"/>
  <c r="J52" i="34" s="1"/>
  <c r="G52" i="34"/>
  <c r="I177" i="2" l="1"/>
  <c r="H176" i="8"/>
  <c r="R176" i="17"/>
  <c r="I178" i="24"/>
  <c r="H177" i="25"/>
  <c r="I178" i="16"/>
  <c r="H177" i="17"/>
  <c r="E18" i="2"/>
  <c r="D18" i="2" s="1"/>
  <c r="I24" i="13"/>
  <c r="H24" i="13"/>
  <c r="E20" i="2"/>
  <c r="D20" i="2" s="1"/>
  <c r="I26" i="13"/>
  <c r="H26" i="13"/>
  <c r="E26" i="2"/>
  <c r="D26" i="2" s="1"/>
  <c r="I32" i="13"/>
  <c r="H32" i="13"/>
  <c r="E52" i="34"/>
  <c r="H47" i="34"/>
  <c r="E15" i="2"/>
  <c r="D15" i="2" s="1"/>
  <c r="I21" i="13"/>
  <c r="H21" i="13"/>
  <c r="E6" i="2"/>
  <c r="D6" i="2" s="1"/>
  <c r="H12" i="13"/>
  <c r="I12" i="13"/>
  <c r="E24" i="2"/>
  <c r="D24" i="2" s="1"/>
  <c r="I30" i="13"/>
  <c r="H30" i="13"/>
  <c r="I53" i="34"/>
  <c r="I54" i="34"/>
  <c r="E21" i="2"/>
  <c r="D21" i="2" s="1"/>
  <c r="I27" i="13"/>
  <c r="H27" i="13"/>
  <c r="E32" i="2"/>
  <c r="D32" i="2" s="1"/>
  <c r="I38" i="13"/>
  <c r="H38" i="13"/>
  <c r="E5" i="2"/>
  <c r="D5" i="2" s="1"/>
  <c r="I11" i="13"/>
  <c r="H11" i="13"/>
  <c r="E36" i="2"/>
  <c r="D36" i="2" s="1"/>
  <c r="I42" i="13"/>
  <c r="H42" i="13"/>
  <c r="I7" i="13"/>
  <c r="H7" i="13"/>
  <c r="E31" i="2"/>
  <c r="D31" i="2" s="1"/>
  <c r="I37" i="13"/>
  <c r="H37" i="13"/>
  <c r="E8" i="2"/>
  <c r="D8" i="2" s="1"/>
  <c r="H14" i="13"/>
  <c r="I14" i="13"/>
  <c r="E38" i="2"/>
  <c r="D38" i="2" s="1"/>
  <c r="I44" i="13"/>
  <c r="H44" i="13"/>
  <c r="E30" i="2"/>
  <c r="D30" i="2" s="1"/>
  <c r="I36" i="13"/>
  <c r="H36" i="13"/>
  <c r="E29" i="2"/>
  <c r="D29" i="2" s="1"/>
  <c r="I35" i="13"/>
  <c r="H35" i="13"/>
  <c r="E27" i="2"/>
  <c r="D27" i="2" s="1"/>
  <c r="I33" i="13"/>
  <c r="H33" i="13"/>
  <c r="I8" i="13"/>
  <c r="H8" i="13"/>
  <c r="E35" i="2"/>
  <c r="D35" i="2" s="1"/>
  <c r="I41" i="13"/>
  <c r="H41" i="13"/>
  <c r="E12" i="2"/>
  <c r="D12" i="2" s="1"/>
  <c r="H18" i="13"/>
  <c r="I18" i="13"/>
  <c r="E54" i="34"/>
  <c r="H48" i="34"/>
  <c r="H53" i="34" s="1"/>
  <c r="E53" i="34"/>
  <c r="E28" i="2"/>
  <c r="D28" i="2" s="1"/>
  <c r="I34" i="13"/>
  <c r="H34" i="13"/>
  <c r="E7" i="2"/>
  <c r="D7" i="2" s="1"/>
  <c r="H13" i="13"/>
  <c r="I13" i="13"/>
  <c r="E16" i="2"/>
  <c r="D16" i="2" s="1"/>
  <c r="I22" i="13"/>
  <c r="H22" i="13"/>
  <c r="I16" i="13"/>
  <c r="E10" i="2"/>
  <c r="D10" i="2" s="1"/>
  <c r="H16" i="13"/>
  <c r="E4" i="2"/>
  <c r="D4" i="2" s="1"/>
  <c r="I10" i="13"/>
  <c r="H10" i="13"/>
  <c r="E23" i="2"/>
  <c r="D23" i="2" s="1"/>
  <c r="H29" i="13"/>
  <c r="I29" i="13"/>
  <c r="J53" i="34"/>
  <c r="E19" i="2"/>
  <c r="D19" i="2" s="1"/>
  <c r="I25" i="13"/>
  <c r="H25" i="13"/>
  <c r="E22" i="2"/>
  <c r="D22" i="2" s="1"/>
  <c r="I28" i="13"/>
  <c r="H28" i="13"/>
  <c r="H45" i="13"/>
  <c r="E39" i="2"/>
  <c r="D39" i="2" s="1"/>
  <c r="I45" i="13"/>
  <c r="E37" i="2"/>
  <c r="D37" i="2" s="1"/>
  <c r="I43" i="13"/>
  <c r="H43" i="13"/>
  <c r="E17" i="2"/>
  <c r="D17" i="2" s="1"/>
  <c r="H23" i="13"/>
  <c r="I23" i="13"/>
  <c r="I9" i="13"/>
  <c r="H9" i="13"/>
  <c r="E33" i="2"/>
  <c r="D33" i="2" s="1"/>
  <c r="I39" i="13"/>
  <c r="H39" i="13"/>
  <c r="E34" i="2"/>
  <c r="D34" i="2" s="1"/>
  <c r="I40" i="13"/>
  <c r="H40" i="13"/>
  <c r="I17" i="13"/>
  <c r="E11" i="2"/>
  <c r="D11" i="2" s="1"/>
  <c r="H17" i="13"/>
  <c r="E25" i="2"/>
  <c r="D25" i="2" s="1"/>
  <c r="I31" i="13"/>
  <c r="H31" i="13"/>
  <c r="E14" i="2"/>
  <c r="D14" i="2" s="1"/>
  <c r="I20" i="13"/>
  <c r="H20" i="13"/>
  <c r="E13" i="2"/>
  <c r="D13" i="2" s="1"/>
  <c r="I19" i="13"/>
  <c r="H19" i="13"/>
  <c r="E40" i="2"/>
  <c r="D40" i="2" s="1"/>
  <c r="I46" i="13"/>
  <c r="H46" i="13"/>
  <c r="E9" i="2"/>
  <c r="D9" i="2" s="1"/>
  <c r="H15" i="13"/>
  <c r="I15" i="13"/>
  <c r="R177" i="17" l="1"/>
  <c r="I179" i="16"/>
  <c r="H178" i="17"/>
  <c r="R177" i="25"/>
  <c r="I179" i="24"/>
  <c r="H178" i="25"/>
  <c r="R178" i="25" s="1"/>
  <c r="R176" i="8"/>
  <c r="I178" i="2"/>
  <c r="H177" i="8"/>
  <c r="R177" i="8" s="1"/>
  <c r="E40" i="8"/>
  <c r="Q39" i="13"/>
  <c r="E33" i="16"/>
  <c r="E39" i="13"/>
  <c r="Q43" i="13"/>
  <c r="E37" i="16"/>
  <c r="E43" i="13"/>
  <c r="E22" i="8"/>
  <c r="Q10" i="13"/>
  <c r="E4" i="16"/>
  <c r="E10" i="13"/>
  <c r="E16" i="8"/>
  <c r="Q8" i="13"/>
  <c r="E8" i="13"/>
  <c r="Q36" i="13"/>
  <c r="E30" i="16"/>
  <c r="E36" i="13"/>
  <c r="E8" i="8"/>
  <c r="E36" i="8"/>
  <c r="E21" i="24"/>
  <c r="R27" i="13"/>
  <c r="F27" i="13"/>
  <c r="O27" i="13" s="1"/>
  <c r="E6" i="16"/>
  <c r="E12" i="13"/>
  <c r="Q12" i="13"/>
  <c r="E26" i="24"/>
  <c r="F32" i="13"/>
  <c r="O32" i="13" s="1"/>
  <c r="R32" i="13"/>
  <c r="E17" i="8"/>
  <c r="F28" i="13"/>
  <c r="O28" i="13" s="1"/>
  <c r="R28" i="13"/>
  <c r="E22" i="24"/>
  <c r="E16" i="24"/>
  <c r="F22" i="13"/>
  <c r="O22" i="13" s="1"/>
  <c r="R22" i="13"/>
  <c r="E25" i="24"/>
  <c r="F31" i="13"/>
  <c r="O31" i="13" s="1"/>
  <c r="R31" i="13"/>
  <c r="E19" i="13"/>
  <c r="E13" i="16"/>
  <c r="Q19" i="13"/>
  <c r="E25" i="8"/>
  <c r="R39" i="13"/>
  <c r="E33" i="24"/>
  <c r="F39" i="13"/>
  <c r="O39" i="13" s="1"/>
  <c r="F43" i="13"/>
  <c r="O43" i="13" s="1"/>
  <c r="R43" i="13"/>
  <c r="E37" i="24"/>
  <c r="E19" i="16"/>
  <c r="E25" i="13"/>
  <c r="Q25" i="13"/>
  <c r="F10" i="13"/>
  <c r="O10" i="13" s="1"/>
  <c r="E4" i="24"/>
  <c r="R10" i="13"/>
  <c r="F13" i="13"/>
  <c r="O13" i="13" s="1"/>
  <c r="E7" i="24"/>
  <c r="R13" i="13"/>
  <c r="R8" i="13"/>
  <c r="F8" i="13"/>
  <c r="O8" i="13" s="1"/>
  <c r="F36" i="13"/>
  <c r="O36" i="13" s="1"/>
  <c r="E30" i="24"/>
  <c r="R36" i="13"/>
  <c r="E37" i="13"/>
  <c r="Q37" i="13"/>
  <c r="E31" i="16"/>
  <c r="E5" i="16"/>
  <c r="E11" i="13"/>
  <c r="Q11" i="13"/>
  <c r="E21" i="8"/>
  <c r="E6" i="8"/>
  <c r="E26" i="8"/>
  <c r="E33" i="8"/>
  <c r="E37" i="8"/>
  <c r="E19" i="24"/>
  <c r="F25" i="13"/>
  <c r="O25" i="13" s="1"/>
  <c r="R25" i="13"/>
  <c r="E4" i="8"/>
  <c r="E13" i="13"/>
  <c r="Q13" i="13"/>
  <c r="S13" i="13" s="1"/>
  <c r="E7" i="16"/>
  <c r="F18" i="13"/>
  <c r="O18" i="13" s="1"/>
  <c r="R18" i="13"/>
  <c r="E12" i="24"/>
  <c r="E33" i="13"/>
  <c r="E27" i="16"/>
  <c r="Q33" i="13"/>
  <c r="E30" i="8"/>
  <c r="E31" i="24"/>
  <c r="R37" i="13"/>
  <c r="F37" i="13"/>
  <c r="O37" i="13" s="1"/>
  <c r="F11" i="13"/>
  <c r="O11" i="13" s="1"/>
  <c r="E5" i="24"/>
  <c r="R11" i="13"/>
  <c r="Q21" i="13"/>
  <c r="E21" i="13"/>
  <c r="E15" i="16"/>
  <c r="Q26" i="13"/>
  <c r="E26" i="13"/>
  <c r="E20" i="16"/>
  <c r="E40" i="24"/>
  <c r="R46" i="13"/>
  <c r="F46" i="13"/>
  <c r="O46" i="13" s="1"/>
  <c r="E11" i="16"/>
  <c r="Q17" i="13"/>
  <c r="E17" i="13"/>
  <c r="F15" i="13"/>
  <c r="O15" i="13" s="1"/>
  <c r="R15" i="13"/>
  <c r="E9" i="24"/>
  <c r="E11" i="8"/>
  <c r="E9" i="13"/>
  <c r="Q9" i="13"/>
  <c r="E39" i="24"/>
  <c r="F45" i="13"/>
  <c r="O45" i="13" s="1"/>
  <c r="R45" i="13"/>
  <c r="E19" i="8"/>
  <c r="Q16" i="13"/>
  <c r="E10" i="16"/>
  <c r="E16" i="13"/>
  <c r="E7" i="8"/>
  <c r="Q18" i="13"/>
  <c r="S18" i="13" s="1"/>
  <c r="E12" i="16"/>
  <c r="E18" i="13"/>
  <c r="F33" i="13"/>
  <c r="O33" i="13" s="1"/>
  <c r="E27" i="24"/>
  <c r="R33" i="13"/>
  <c r="E44" i="13"/>
  <c r="E38" i="16"/>
  <c r="Q44" i="13"/>
  <c r="E31" i="8"/>
  <c r="E5" i="8"/>
  <c r="E15" i="24"/>
  <c r="F21" i="13"/>
  <c r="O21" i="13" s="1"/>
  <c r="R21" i="13"/>
  <c r="F26" i="13"/>
  <c r="O26" i="13" s="1"/>
  <c r="E20" i="24"/>
  <c r="R26" i="13"/>
  <c r="E31" i="13"/>
  <c r="Q31" i="13"/>
  <c r="E25" i="16"/>
  <c r="E13" i="24"/>
  <c r="R19" i="13"/>
  <c r="F19" i="13"/>
  <c r="O19" i="13" s="1"/>
  <c r="E39" i="8"/>
  <c r="E10" i="8"/>
  <c r="E34" i="13"/>
  <c r="E28" i="16"/>
  <c r="Q34" i="13"/>
  <c r="E12" i="8"/>
  <c r="E27" i="8"/>
  <c r="E38" i="24"/>
  <c r="R44" i="13"/>
  <c r="F44" i="13"/>
  <c r="O44" i="13" s="1"/>
  <c r="E7" i="13"/>
  <c r="Q7" i="13"/>
  <c r="Q38" i="13"/>
  <c r="E32" i="16"/>
  <c r="E38" i="13"/>
  <c r="Q30" i="13"/>
  <c r="E30" i="13"/>
  <c r="E24" i="16"/>
  <c r="E15" i="8"/>
  <c r="E20" i="8"/>
  <c r="E34" i="8"/>
  <c r="E9" i="8"/>
  <c r="E34" i="16"/>
  <c r="Q40" i="13"/>
  <c r="E40" i="13"/>
  <c r="Q45" i="13"/>
  <c r="E45" i="13"/>
  <c r="E39" i="16"/>
  <c r="R16" i="13"/>
  <c r="F16" i="13"/>
  <c r="O16" i="13" s="1"/>
  <c r="E10" i="24"/>
  <c r="E28" i="24"/>
  <c r="F34" i="13"/>
  <c r="O34" i="13" s="1"/>
  <c r="R34" i="13"/>
  <c r="E41" i="13"/>
  <c r="E35" i="16"/>
  <c r="Q41" i="13"/>
  <c r="E35" i="13"/>
  <c r="E29" i="16"/>
  <c r="Q35" i="13"/>
  <c r="E38" i="8"/>
  <c r="F7" i="13"/>
  <c r="O7" i="13" s="1"/>
  <c r="R7" i="13"/>
  <c r="F38" i="13"/>
  <c r="O38" i="13" s="1"/>
  <c r="E32" i="24"/>
  <c r="R38" i="13"/>
  <c r="F30" i="13"/>
  <c r="O30" i="13" s="1"/>
  <c r="R30" i="13"/>
  <c r="E24" i="24"/>
  <c r="J47" i="13"/>
  <c r="H52" i="34"/>
  <c r="E24" i="13"/>
  <c r="Q24" i="13"/>
  <c r="E18" i="16"/>
  <c r="E13" i="8"/>
  <c r="Q15" i="13"/>
  <c r="E15" i="13"/>
  <c r="E9" i="16"/>
  <c r="E20" i="13"/>
  <c r="E14" i="16"/>
  <c r="Q20" i="13"/>
  <c r="F17" i="13"/>
  <c r="O17" i="13" s="1"/>
  <c r="R17" i="13"/>
  <c r="E11" i="24"/>
  <c r="F9" i="13"/>
  <c r="O9" i="13" s="1"/>
  <c r="R9" i="13"/>
  <c r="E14" i="24"/>
  <c r="F20" i="13"/>
  <c r="O20" i="13" s="1"/>
  <c r="R20" i="13"/>
  <c r="F23" i="13"/>
  <c r="O23" i="13" s="1"/>
  <c r="R23" i="13"/>
  <c r="E17" i="24"/>
  <c r="F29" i="13"/>
  <c r="O29" i="13" s="1"/>
  <c r="R29" i="13"/>
  <c r="E23" i="24"/>
  <c r="Q46" i="13"/>
  <c r="E40" i="16"/>
  <c r="E46" i="13"/>
  <c r="E14" i="8"/>
  <c r="F40" i="13"/>
  <c r="O40" i="13" s="1"/>
  <c r="E34" i="24"/>
  <c r="R40" i="13"/>
  <c r="E17" i="16"/>
  <c r="E23" i="13"/>
  <c r="Q23" i="13"/>
  <c r="E22" i="16"/>
  <c r="Q28" i="13"/>
  <c r="E28" i="13"/>
  <c r="E29" i="13"/>
  <c r="E23" i="16"/>
  <c r="Q29" i="13"/>
  <c r="E22" i="13"/>
  <c r="Q22" i="13"/>
  <c r="S22" i="13" s="1"/>
  <c r="E16" i="16"/>
  <c r="E28" i="8"/>
  <c r="E35" i="24"/>
  <c r="F41" i="13"/>
  <c r="O41" i="13" s="1"/>
  <c r="R41" i="13"/>
  <c r="R35" i="13"/>
  <c r="E29" i="24"/>
  <c r="F35" i="13"/>
  <c r="O35" i="13" s="1"/>
  <c r="R14" i="13"/>
  <c r="F14" i="13"/>
  <c r="O14" i="13" s="1"/>
  <c r="E8" i="24"/>
  <c r="E42" i="13"/>
  <c r="Q42" i="13"/>
  <c r="E36" i="16"/>
  <c r="E32" i="8"/>
  <c r="E24" i="8"/>
  <c r="F24" i="13"/>
  <c r="O24" i="13" s="1"/>
  <c r="R24" i="13"/>
  <c r="E18" i="24"/>
  <c r="E23" i="8"/>
  <c r="E35" i="8"/>
  <c r="E29" i="8"/>
  <c r="E14" i="13"/>
  <c r="E8" i="16"/>
  <c r="Q14" i="13"/>
  <c r="S14" i="13" s="1"/>
  <c r="F42" i="13"/>
  <c r="O42" i="13" s="1"/>
  <c r="R42" i="13"/>
  <c r="E36" i="24"/>
  <c r="E27" i="13"/>
  <c r="Q27" i="13"/>
  <c r="E21" i="16"/>
  <c r="E6" i="24"/>
  <c r="R12" i="13"/>
  <c r="F12" i="13"/>
  <c r="O12" i="13" s="1"/>
  <c r="E32" i="13"/>
  <c r="Q32" i="13"/>
  <c r="E26" i="16"/>
  <c r="E18" i="8"/>
  <c r="S46" i="13" l="1"/>
  <c r="S31" i="13"/>
  <c r="S28" i="13"/>
  <c r="S27" i="13"/>
  <c r="S42" i="13"/>
  <c r="S44" i="13"/>
  <c r="I179" i="2"/>
  <c r="H178" i="8"/>
  <c r="R178" i="8" s="1"/>
  <c r="R178" i="17"/>
  <c r="I180" i="16"/>
  <c r="H179" i="17"/>
  <c r="AG30" i="42"/>
  <c r="I180" i="24"/>
  <c r="H179" i="25"/>
  <c r="S17" i="13"/>
  <c r="S9" i="13"/>
  <c r="S35" i="13"/>
  <c r="S40" i="13"/>
  <c r="S23" i="13"/>
  <c r="S41" i="13"/>
  <c r="S7" i="13"/>
  <c r="S29" i="13"/>
  <c r="S26" i="13"/>
  <c r="D28" i="24"/>
  <c r="F28" i="24"/>
  <c r="G33" i="13"/>
  <c r="F27" i="2" s="1"/>
  <c r="N33" i="13"/>
  <c r="P33" i="13" s="1"/>
  <c r="D36" i="16"/>
  <c r="F36" i="16"/>
  <c r="N22" i="13"/>
  <c r="P22" i="13" s="1"/>
  <c r="G22" i="13"/>
  <c r="F16" i="2" s="1"/>
  <c r="G23" i="13"/>
  <c r="F17" i="2" s="1"/>
  <c r="N23" i="13"/>
  <c r="P23" i="13" s="1"/>
  <c r="D40" i="16"/>
  <c r="F40" i="16"/>
  <c r="S20" i="13"/>
  <c r="D18" i="16"/>
  <c r="F18" i="16"/>
  <c r="D29" i="16"/>
  <c r="F29" i="16"/>
  <c r="D10" i="24"/>
  <c r="F10" i="24"/>
  <c r="D34" i="16"/>
  <c r="F34" i="16"/>
  <c r="N7" i="13"/>
  <c r="P7" i="13" s="1"/>
  <c r="G7" i="13"/>
  <c r="S34" i="13"/>
  <c r="D38" i="16"/>
  <c r="F38" i="16"/>
  <c r="G26" i="13"/>
  <c r="F20" i="2" s="1"/>
  <c r="N26" i="13"/>
  <c r="P26" i="13" s="1"/>
  <c r="D12" i="24"/>
  <c r="F12" i="24"/>
  <c r="D31" i="16"/>
  <c r="F31" i="16"/>
  <c r="D19" i="16"/>
  <c r="F19" i="16"/>
  <c r="S8" i="13"/>
  <c r="G43" i="13"/>
  <c r="F37" i="2" s="1"/>
  <c r="N43" i="13"/>
  <c r="P43" i="13" s="1"/>
  <c r="F6" i="24"/>
  <c r="D6" i="24"/>
  <c r="D8" i="16"/>
  <c r="F8" i="16"/>
  <c r="D18" i="24"/>
  <c r="F18" i="24"/>
  <c r="D17" i="16"/>
  <c r="F17" i="16"/>
  <c r="D14" i="16"/>
  <c r="F14" i="16"/>
  <c r="S24" i="13"/>
  <c r="D32" i="24"/>
  <c r="F32" i="24"/>
  <c r="G35" i="13"/>
  <c r="F29" i="2" s="1"/>
  <c r="N35" i="13"/>
  <c r="P35" i="13" s="1"/>
  <c r="D24" i="16"/>
  <c r="F24" i="16"/>
  <c r="D28" i="16"/>
  <c r="F28" i="16"/>
  <c r="D13" i="24"/>
  <c r="F13" i="24"/>
  <c r="G44" i="13"/>
  <c r="F38" i="2" s="1"/>
  <c r="N44" i="13"/>
  <c r="P44" i="13" s="1"/>
  <c r="D39" i="24"/>
  <c r="F39" i="24"/>
  <c r="G17" i="13"/>
  <c r="F11" i="2" s="1"/>
  <c r="N17" i="13"/>
  <c r="P17" i="13" s="1"/>
  <c r="S37" i="13"/>
  <c r="D7" i="24"/>
  <c r="F7" i="24"/>
  <c r="D37" i="24"/>
  <c r="F37" i="24"/>
  <c r="S19" i="13"/>
  <c r="D16" i="24"/>
  <c r="F16" i="24"/>
  <c r="D26" i="24"/>
  <c r="F26" i="24"/>
  <c r="D37" i="16"/>
  <c r="F37" i="16"/>
  <c r="G14" i="13"/>
  <c r="F8" i="2" s="1"/>
  <c r="N14" i="13"/>
  <c r="P14" i="13" s="1"/>
  <c r="G42" i="13"/>
  <c r="F36" i="2" s="1"/>
  <c r="N42" i="13"/>
  <c r="P42" i="13" s="1"/>
  <c r="D13" i="16"/>
  <c r="F13" i="16"/>
  <c r="D22" i="24"/>
  <c r="F22" i="24"/>
  <c r="S12" i="13"/>
  <c r="S43" i="13"/>
  <c r="N46" i="13"/>
  <c r="P46" i="13" s="1"/>
  <c r="G46" i="13"/>
  <c r="F40" i="2" s="1"/>
  <c r="D14" i="24"/>
  <c r="F14" i="24"/>
  <c r="D25" i="16"/>
  <c r="F25" i="16"/>
  <c r="D31" i="24"/>
  <c r="F31" i="24"/>
  <c r="G37" i="13"/>
  <c r="F31" i="2" s="1"/>
  <c r="N37" i="13"/>
  <c r="P37" i="13" s="1"/>
  <c r="D35" i="24"/>
  <c r="F35" i="24"/>
  <c r="D34" i="24"/>
  <c r="F34" i="24"/>
  <c r="D9" i="16"/>
  <c r="F9" i="16"/>
  <c r="D35" i="16"/>
  <c r="F35" i="16"/>
  <c r="D39" i="16"/>
  <c r="F39" i="16"/>
  <c r="S30" i="13"/>
  <c r="F38" i="24"/>
  <c r="D38" i="24"/>
  <c r="D27" i="24"/>
  <c r="F27" i="24"/>
  <c r="D10" i="16"/>
  <c r="F10" i="16"/>
  <c r="G9" i="13"/>
  <c r="N9" i="13"/>
  <c r="P9" i="13" s="1"/>
  <c r="D11" i="16"/>
  <c r="F11" i="16"/>
  <c r="G21" i="13"/>
  <c r="F15" i="2" s="1"/>
  <c r="N21" i="13"/>
  <c r="P21" i="13" s="1"/>
  <c r="D7" i="16"/>
  <c r="F7" i="16"/>
  <c r="N19" i="13"/>
  <c r="P19" i="13" s="1"/>
  <c r="G19" i="13"/>
  <c r="F13" i="2" s="1"/>
  <c r="G12" i="13"/>
  <c r="F6" i="2" s="1"/>
  <c r="N12" i="13"/>
  <c r="P12" i="13" s="1"/>
  <c r="N10" i="13"/>
  <c r="P10" i="13" s="1"/>
  <c r="G10" i="13"/>
  <c r="F4" i="2" s="1"/>
  <c r="G4" i="2" s="1"/>
  <c r="D4" i="8" s="1"/>
  <c r="G39" i="13"/>
  <c r="F33" i="2" s="1"/>
  <c r="N39" i="13"/>
  <c r="P39" i="13" s="1"/>
  <c r="D23" i="24"/>
  <c r="F23" i="24"/>
  <c r="N24" i="13"/>
  <c r="P24" i="13" s="1"/>
  <c r="G24" i="13"/>
  <c r="F18" i="2" s="1"/>
  <c r="N34" i="13"/>
  <c r="P34" i="13" s="1"/>
  <c r="G34" i="13"/>
  <c r="F28" i="2" s="1"/>
  <c r="D15" i="16"/>
  <c r="F15" i="16"/>
  <c r="D8" i="24"/>
  <c r="F8" i="24"/>
  <c r="N29" i="13"/>
  <c r="P29" i="13" s="1"/>
  <c r="G29" i="13"/>
  <c r="F23" i="2" s="1"/>
  <c r="D26" i="16"/>
  <c r="F26" i="16"/>
  <c r="N27" i="13"/>
  <c r="P27" i="13" s="1"/>
  <c r="G27" i="13"/>
  <c r="F21" i="2" s="1"/>
  <c r="G28" i="13"/>
  <c r="F22" i="2" s="1"/>
  <c r="N28" i="13"/>
  <c r="P28" i="13" s="1"/>
  <c r="N15" i="13"/>
  <c r="P15" i="13" s="1"/>
  <c r="G15" i="13"/>
  <c r="F9" i="2" s="1"/>
  <c r="E41" i="2"/>
  <c r="D41" i="2" s="1"/>
  <c r="I47" i="13"/>
  <c r="H47" i="13"/>
  <c r="N41" i="13"/>
  <c r="P41" i="13" s="1"/>
  <c r="G41" i="13"/>
  <c r="F35" i="2" s="1"/>
  <c r="N45" i="13"/>
  <c r="P45" i="13" s="1"/>
  <c r="G45" i="13"/>
  <c r="F39" i="2" s="1"/>
  <c r="N38" i="13"/>
  <c r="P38" i="13" s="1"/>
  <c r="G38" i="13"/>
  <c r="F32" i="2" s="1"/>
  <c r="N31" i="13"/>
  <c r="P31" i="13" s="1"/>
  <c r="G31" i="13"/>
  <c r="F25" i="2" s="1"/>
  <c r="S16" i="13"/>
  <c r="S21" i="13"/>
  <c r="D30" i="24"/>
  <c r="F30" i="24"/>
  <c r="D4" i="24"/>
  <c r="F4" i="24"/>
  <c r="G4" i="24" s="1"/>
  <c r="D4" i="25" s="1"/>
  <c r="D6" i="16"/>
  <c r="F6" i="16"/>
  <c r="G36" i="13"/>
  <c r="F30" i="2" s="1"/>
  <c r="N36" i="13"/>
  <c r="P36" i="13" s="1"/>
  <c r="D4" i="16"/>
  <c r="F4" i="16"/>
  <c r="G4" i="16" s="1"/>
  <c r="D4" i="17" s="1"/>
  <c r="D33" i="16"/>
  <c r="F33" i="16"/>
  <c r="D23" i="16"/>
  <c r="F23" i="16"/>
  <c r="D15" i="24"/>
  <c r="F15" i="24"/>
  <c r="N16" i="13"/>
  <c r="P16" i="13" s="1"/>
  <c r="G16" i="13"/>
  <c r="F10" i="2" s="1"/>
  <c r="S32" i="13"/>
  <c r="D36" i="24"/>
  <c r="F36" i="24"/>
  <c r="D17" i="24"/>
  <c r="F17" i="24"/>
  <c r="D11" i="24"/>
  <c r="F11" i="24"/>
  <c r="S15" i="13"/>
  <c r="D24" i="24"/>
  <c r="F24" i="24"/>
  <c r="S45" i="13"/>
  <c r="D32" i="16"/>
  <c r="F32" i="16"/>
  <c r="G18" i="13"/>
  <c r="F12" i="2" s="1"/>
  <c r="N18" i="13"/>
  <c r="P18" i="13" s="1"/>
  <c r="S33" i="13"/>
  <c r="G13" i="13"/>
  <c r="F7" i="2" s="1"/>
  <c r="N13" i="13"/>
  <c r="P13" i="13" s="1"/>
  <c r="S11" i="13"/>
  <c r="D33" i="24"/>
  <c r="F33" i="24"/>
  <c r="D30" i="16"/>
  <c r="F30" i="16"/>
  <c r="S10" i="13"/>
  <c r="S39" i="13"/>
  <c r="D21" i="16"/>
  <c r="F21" i="16"/>
  <c r="G20" i="13"/>
  <c r="F14" i="2" s="1"/>
  <c r="N20" i="13"/>
  <c r="P20" i="13" s="1"/>
  <c r="G30" i="13"/>
  <c r="F24" i="2" s="1"/>
  <c r="N30" i="13"/>
  <c r="P30" i="13" s="1"/>
  <c r="F19" i="24"/>
  <c r="D19" i="24"/>
  <c r="N32" i="13"/>
  <c r="P32" i="13" s="1"/>
  <c r="G32" i="13"/>
  <c r="F26" i="2" s="1"/>
  <c r="D16" i="16"/>
  <c r="F16" i="16"/>
  <c r="D22" i="16"/>
  <c r="F22" i="16"/>
  <c r="N40" i="13"/>
  <c r="P40" i="13" s="1"/>
  <c r="G40" i="13"/>
  <c r="F34" i="2" s="1"/>
  <c r="S38" i="13"/>
  <c r="F20" i="24"/>
  <c r="D20" i="24"/>
  <c r="D12" i="16"/>
  <c r="F12" i="16"/>
  <c r="D9" i="24"/>
  <c r="F9" i="24"/>
  <c r="D40" i="24"/>
  <c r="F40" i="24"/>
  <c r="D5" i="24"/>
  <c r="F5" i="24"/>
  <c r="D27" i="16"/>
  <c r="F27" i="16"/>
  <c r="G11" i="13"/>
  <c r="F5" i="2" s="1"/>
  <c r="N11" i="13"/>
  <c r="P11" i="13" s="1"/>
  <c r="S25" i="13"/>
  <c r="D25" i="24"/>
  <c r="F25" i="24"/>
  <c r="S36" i="13"/>
  <c r="F29" i="24"/>
  <c r="D29" i="24"/>
  <c r="D20" i="16"/>
  <c r="F20" i="16"/>
  <c r="D5" i="16"/>
  <c r="F5" i="16"/>
  <c r="N25" i="13"/>
  <c r="P25" i="13" s="1"/>
  <c r="G25" i="13"/>
  <c r="F19" i="2" s="1"/>
  <c r="D21" i="24"/>
  <c r="F21" i="24"/>
  <c r="N8" i="13"/>
  <c r="P8" i="13" s="1"/>
  <c r="G8" i="13"/>
  <c r="AK30" i="42" l="1"/>
  <c r="AM30" i="42"/>
  <c r="AF30" i="42"/>
  <c r="R179" i="17"/>
  <c r="I181" i="16"/>
  <c r="H180" i="17"/>
  <c r="R180" i="17" s="1"/>
  <c r="S30" i="42"/>
  <c r="R179" i="25"/>
  <c r="I181" i="24"/>
  <c r="H180" i="25"/>
  <c r="E30" i="42"/>
  <c r="I180" i="2"/>
  <c r="H179" i="8"/>
  <c r="R179" i="8" s="1"/>
  <c r="G5" i="16"/>
  <c r="D5" i="17" s="1"/>
  <c r="G5" i="24"/>
  <c r="D5" i="25" s="1"/>
  <c r="G5" i="2"/>
  <c r="D5" i="8" s="1"/>
  <c r="E20" i="25"/>
  <c r="E16" i="17"/>
  <c r="E33" i="25"/>
  <c r="E32" i="17"/>
  <c r="E17" i="25"/>
  <c r="E47" i="13"/>
  <c r="Q47" i="13"/>
  <c r="E41" i="16"/>
  <c r="E15" i="17"/>
  <c r="E7" i="17"/>
  <c r="E10" i="17"/>
  <c r="E8" i="17"/>
  <c r="E29" i="17"/>
  <c r="E23" i="17"/>
  <c r="E6" i="17"/>
  <c r="R47" i="13"/>
  <c r="E41" i="24"/>
  <c r="F47" i="13"/>
  <c r="O47" i="13" s="1"/>
  <c r="E35" i="17"/>
  <c r="E16" i="25"/>
  <c r="E28" i="17"/>
  <c r="E6" i="25"/>
  <c r="E31" i="17"/>
  <c r="E21" i="25"/>
  <c r="E21" i="17"/>
  <c r="E36" i="25"/>
  <c r="E41" i="8"/>
  <c r="E26" i="17"/>
  <c r="E27" i="25"/>
  <c r="E14" i="17"/>
  <c r="E18" i="17"/>
  <c r="E40" i="25"/>
  <c r="E19" i="25"/>
  <c r="E24" i="25"/>
  <c r="E33" i="17"/>
  <c r="E4" i="25"/>
  <c r="E38" i="25"/>
  <c r="E9" i="17"/>
  <c r="E31" i="25"/>
  <c r="E39" i="25"/>
  <c r="E24" i="17"/>
  <c r="E12" i="25"/>
  <c r="E36" i="17"/>
  <c r="E5" i="25"/>
  <c r="E11" i="17"/>
  <c r="E37" i="25"/>
  <c r="E17" i="17"/>
  <c r="E34" i="17"/>
  <c r="E25" i="25"/>
  <c r="E5" i="17"/>
  <c r="E20" i="17"/>
  <c r="E4" i="17"/>
  <c r="E30" i="25"/>
  <c r="E34" i="25"/>
  <c r="E25" i="17"/>
  <c r="E22" i="25"/>
  <c r="E37" i="17"/>
  <c r="E40" i="17"/>
  <c r="E9" i="25"/>
  <c r="E29" i="25"/>
  <c r="E22" i="17"/>
  <c r="E30" i="17"/>
  <c r="E11" i="25"/>
  <c r="E8" i="25"/>
  <c r="E23" i="25"/>
  <c r="E7" i="25"/>
  <c r="E18" i="25"/>
  <c r="E10" i="25"/>
  <c r="E27" i="17"/>
  <c r="E12" i="17"/>
  <c r="E15" i="25"/>
  <c r="E39" i="17"/>
  <c r="E35" i="25"/>
  <c r="E14" i="25"/>
  <c r="E13" i="17"/>
  <c r="E26" i="25"/>
  <c r="E13" i="25"/>
  <c r="E32" i="25"/>
  <c r="E19" i="17"/>
  <c r="E38" i="17"/>
  <c r="E28" i="25"/>
  <c r="G6" i="16" l="1"/>
  <c r="D6" i="17" s="1"/>
  <c r="G6" i="2"/>
  <c r="D6" i="8" s="1"/>
  <c r="I30" i="42"/>
  <c r="D30" i="42"/>
  <c r="F29" i="42"/>
  <c r="I181" i="2"/>
  <c r="H180" i="8"/>
  <c r="Y30" i="42"/>
  <c r="R30" i="42"/>
  <c r="R180" i="25"/>
  <c r="I182" i="24"/>
  <c r="H181" i="25"/>
  <c r="R181" i="25" s="1"/>
  <c r="I182" i="16"/>
  <c r="H181" i="17"/>
  <c r="R181" i="17" s="1"/>
  <c r="G6" i="24"/>
  <c r="D6" i="25" s="1"/>
  <c r="N47" i="13"/>
  <c r="P47" i="13" s="1"/>
  <c r="G47" i="13"/>
  <c r="D41" i="24"/>
  <c r="F41" i="24"/>
  <c r="D41" i="16"/>
  <c r="F41" i="16"/>
  <c r="S47" i="13"/>
  <c r="G7" i="16" l="1"/>
  <c r="D7" i="17" s="1"/>
  <c r="H182" i="17"/>
  <c r="R182" i="17" s="1"/>
  <c r="I183" i="16"/>
  <c r="H182" i="25"/>
  <c r="R182" i="25" s="1"/>
  <c r="I183" i="24"/>
  <c r="G7" i="2"/>
  <c r="G8" i="2" s="1"/>
  <c r="R180" i="8"/>
  <c r="I182" i="2"/>
  <c r="H182" i="8" s="1"/>
  <c r="H181" i="8"/>
  <c r="R181" i="8" s="1"/>
  <c r="G7" i="24"/>
  <c r="D7" i="25" s="1"/>
  <c r="E50" i="34"/>
  <c r="E55" i="34" s="1"/>
  <c r="F41" i="2"/>
  <c r="E41" i="17"/>
  <c r="E41" i="25"/>
  <c r="G8" i="16" l="1"/>
  <c r="G9" i="16" s="1"/>
  <c r="D7" i="8"/>
  <c r="I184" i="24"/>
  <c r="H183" i="25"/>
  <c r="I184" i="16"/>
  <c r="H183" i="17"/>
  <c r="I183" i="2"/>
  <c r="G8" i="24"/>
  <c r="D8" i="25" s="1"/>
  <c r="D8" i="17"/>
  <c r="D8" i="8"/>
  <c r="G9" i="2"/>
  <c r="R183" i="17" l="1"/>
  <c r="R183" i="25"/>
  <c r="I185" i="16"/>
  <c r="H185" i="17" s="1"/>
  <c r="R185" i="17" s="1"/>
  <c r="F31" i="47" s="1"/>
  <c r="H184" i="17"/>
  <c r="I184" i="2"/>
  <c r="H183" i="8"/>
  <c r="I185" i="24"/>
  <c r="H185" i="25" s="1"/>
  <c r="H184" i="25"/>
  <c r="R182" i="8"/>
  <c r="E5" i="42"/>
  <c r="G9" i="24"/>
  <c r="G10" i="24" s="1"/>
  <c r="D10" i="25" s="1"/>
  <c r="G10" i="16"/>
  <c r="D9" i="17"/>
  <c r="D9" i="8"/>
  <c r="G10" i="2"/>
  <c r="R185" i="25" l="1"/>
  <c r="F31" i="48" s="1"/>
  <c r="J16" i="22"/>
  <c r="F7" i="48"/>
  <c r="F8" i="48"/>
  <c r="F6" i="48"/>
  <c r="F9" i="48"/>
  <c r="F10" i="48"/>
  <c r="F11" i="48"/>
  <c r="F12" i="48"/>
  <c r="F13" i="48"/>
  <c r="F14" i="48"/>
  <c r="F15" i="48"/>
  <c r="F16" i="48"/>
  <c r="F17" i="48"/>
  <c r="F18" i="48"/>
  <c r="F19" i="48"/>
  <c r="F20" i="48"/>
  <c r="F21" i="48"/>
  <c r="F22" i="48"/>
  <c r="F23" i="48"/>
  <c r="F24" i="48"/>
  <c r="F25" i="48"/>
  <c r="F26" i="48"/>
  <c r="F27" i="48"/>
  <c r="F28" i="48"/>
  <c r="F29" i="48"/>
  <c r="F30" i="48"/>
  <c r="F6" i="47"/>
  <c r="F8" i="47"/>
  <c r="F7" i="47"/>
  <c r="F9" i="47"/>
  <c r="F10" i="47"/>
  <c r="F11" i="47"/>
  <c r="F12" i="47"/>
  <c r="F13" i="47"/>
  <c r="F14" i="47"/>
  <c r="F15" i="47"/>
  <c r="F16" i="47"/>
  <c r="F17" i="47"/>
  <c r="F18" i="47"/>
  <c r="F19" i="47"/>
  <c r="F20" i="47"/>
  <c r="F21" i="47"/>
  <c r="F22" i="47"/>
  <c r="F23" i="47"/>
  <c r="F24" i="47"/>
  <c r="F25" i="47"/>
  <c r="F26" i="47"/>
  <c r="F27" i="47"/>
  <c r="F28" i="47"/>
  <c r="F29" i="47"/>
  <c r="F30" i="47"/>
  <c r="J16" i="14"/>
  <c r="J12" i="14" s="1"/>
  <c r="R184" i="25"/>
  <c r="B6" i="23"/>
  <c r="K4" i="7"/>
  <c r="AG31" i="42"/>
  <c r="R183" i="8"/>
  <c r="I185" i="2"/>
  <c r="H185" i="8" s="1"/>
  <c r="H184" i="8"/>
  <c r="K27" i="42"/>
  <c r="K28" i="42"/>
  <c r="K29" i="42"/>
  <c r="K30" i="42"/>
  <c r="R184" i="17"/>
  <c r="B6" i="15"/>
  <c r="S31" i="42"/>
  <c r="K24" i="42"/>
  <c r="K25" i="42"/>
  <c r="K26" i="42"/>
  <c r="K20" i="42"/>
  <c r="K21" i="42"/>
  <c r="K22" i="42"/>
  <c r="K23" i="42"/>
  <c r="K14" i="42"/>
  <c r="K15" i="42"/>
  <c r="K16" i="42"/>
  <c r="K17" i="42"/>
  <c r="K18" i="42"/>
  <c r="K19" i="42"/>
  <c r="K10" i="42"/>
  <c r="K11" i="42"/>
  <c r="K12" i="42"/>
  <c r="K13" i="42"/>
  <c r="F5" i="42"/>
  <c r="K6" i="42"/>
  <c r="I6" i="42"/>
  <c r="K7" i="42"/>
  <c r="K8" i="42"/>
  <c r="K9" i="42"/>
  <c r="G11" i="24"/>
  <c r="D11" i="25" s="1"/>
  <c r="D9" i="25"/>
  <c r="D10" i="17"/>
  <c r="G11" i="16"/>
  <c r="D10" i="8"/>
  <c r="G11" i="2"/>
  <c r="I23" i="4" l="1"/>
  <c r="J23" i="4"/>
  <c r="R185" i="8"/>
  <c r="F31" i="46" s="1"/>
  <c r="E6" i="48"/>
  <c r="E7" i="48" s="1"/>
  <c r="E8" i="48" s="1"/>
  <c r="E9" i="48" s="1"/>
  <c r="E10" i="48" s="1"/>
  <c r="E11" i="48" s="1"/>
  <c r="E12" i="48" s="1"/>
  <c r="E13" i="48" s="1"/>
  <c r="E14" i="48" s="1"/>
  <c r="E15" i="48" s="1"/>
  <c r="E16" i="48" s="1"/>
  <c r="E17" i="48" s="1"/>
  <c r="E18" i="48" s="1"/>
  <c r="E19" i="48" s="1"/>
  <c r="E20" i="48" s="1"/>
  <c r="E21" i="48" s="1"/>
  <c r="E22" i="48" s="1"/>
  <c r="E23" i="48" s="1"/>
  <c r="E24" i="48" s="1"/>
  <c r="E25" i="48" s="1"/>
  <c r="E26" i="48" s="1"/>
  <c r="E27" i="48" s="1"/>
  <c r="E28" i="48" s="1"/>
  <c r="E29" i="48" s="1"/>
  <c r="E30" i="48" s="1"/>
  <c r="E31" i="48" s="1"/>
  <c r="F9" i="46"/>
  <c r="F6" i="46"/>
  <c r="F8" i="46"/>
  <c r="F7" i="46"/>
  <c r="F10" i="46"/>
  <c r="F11" i="46"/>
  <c r="F12" i="46"/>
  <c r="F13" i="46"/>
  <c r="F14" i="46"/>
  <c r="F15" i="46"/>
  <c r="F16" i="46"/>
  <c r="F17" i="46"/>
  <c r="F18" i="46"/>
  <c r="F19" i="46"/>
  <c r="F20" i="46"/>
  <c r="F21" i="46"/>
  <c r="F22" i="46"/>
  <c r="F23" i="46"/>
  <c r="F24" i="46"/>
  <c r="F25" i="46"/>
  <c r="F26" i="46"/>
  <c r="F27" i="46"/>
  <c r="F28" i="46"/>
  <c r="F29" i="46"/>
  <c r="F30" i="46"/>
  <c r="E6" i="47"/>
  <c r="E7" i="47" s="1"/>
  <c r="E8" i="47" s="1"/>
  <c r="E9" i="47" s="1"/>
  <c r="E10" i="47" s="1"/>
  <c r="E11" i="47" s="1"/>
  <c r="E12" i="47" s="1"/>
  <c r="E13" i="47" s="1"/>
  <c r="E14" i="47" s="1"/>
  <c r="E15" i="47" s="1"/>
  <c r="E16" i="47" s="1"/>
  <c r="E17" i="47" s="1"/>
  <c r="E18" i="47" s="1"/>
  <c r="E19" i="47" s="1"/>
  <c r="E20" i="47" s="1"/>
  <c r="E21" i="47" s="1"/>
  <c r="E22" i="47" s="1"/>
  <c r="E23" i="47" s="1"/>
  <c r="E24" i="47" s="1"/>
  <c r="E25" i="47" s="1"/>
  <c r="E26" i="47" s="1"/>
  <c r="E27" i="47" s="1"/>
  <c r="E28" i="47" s="1"/>
  <c r="E29" i="47" s="1"/>
  <c r="E30" i="47" s="1"/>
  <c r="E31" i="47" s="1"/>
  <c r="J4" i="14"/>
  <c r="J10" i="14" s="1"/>
  <c r="M13" i="26"/>
  <c r="D13" i="26"/>
  <c r="N13" i="26"/>
  <c r="E13" i="26"/>
  <c r="E22" i="4"/>
  <c r="E16" i="4" s="1"/>
  <c r="J22" i="4"/>
  <c r="J18" i="4" s="1"/>
  <c r="I22" i="4"/>
  <c r="J4" i="22"/>
  <c r="J10" i="22" s="1"/>
  <c r="J12" i="22"/>
  <c r="J43" i="26" s="1"/>
  <c r="H22" i="4"/>
  <c r="H18" i="4" s="1"/>
  <c r="G23" i="4"/>
  <c r="G17" i="4" s="1"/>
  <c r="G22" i="4"/>
  <c r="R184" i="8"/>
  <c r="B6" i="7"/>
  <c r="F23" i="4"/>
  <c r="E23" i="4"/>
  <c r="C23" i="4"/>
  <c r="D23" i="4"/>
  <c r="D22" i="4"/>
  <c r="F22" i="4"/>
  <c r="AK31" i="42"/>
  <c r="AF31" i="42"/>
  <c r="AM31" i="42"/>
  <c r="E31" i="42"/>
  <c r="J38" i="26"/>
  <c r="Y31" i="42"/>
  <c r="R31" i="42"/>
  <c r="H23" i="4"/>
  <c r="G12" i="24"/>
  <c r="D12" i="25" s="1"/>
  <c r="G12" i="16"/>
  <c r="D11" i="17"/>
  <c r="D11" i="8"/>
  <c r="G12" i="2"/>
  <c r="G30" i="46" l="1"/>
  <c r="G26" i="46"/>
  <c r="G22" i="46"/>
  <c r="G18" i="46"/>
  <c r="G14" i="46"/>
  <c r="G10" i="46"/>
  <c r="G5" i="46"/>
  <c r="E6" i="46"/>
  <c r="E7" i="46" s="1"/>
  <c r="E8" i="46" s="1"/>
  <c r="E9" i="46" s="1"/>
  <c r="E10" i="46" s="1"/>
  <c r="G29" i="46"/>
  <c r="G25" i="46"/>
  <c r="G21" i="46"/>
  <c r="G17" i="46"/>
  <c r="G13" i="46"/>
  <c r="G9" i="46"/>
  <c r="G8" i="46"/>
  <c r="G28" i="46"/>
  <c r="G24" i="46"/>
  <c r="G20" i="46"/>
  <c r="G16" i="46"/>
  <c r="G12" i="46"/>
  <c r="G6" i="46"/>
  <c r="G27" i="46"/>
  <c r="G23" i="46"/>
  <c r="G19" i="46"/>
  <c r="G15" i="46"/>
  <c r="G11" i="46"/>
  <c r="G7" i="46"/>
  <c r="O13" i="26"/>
  <c r="F13" i="26"/>
  <c r="E18" i="4"/>
  <c r="E31" i="4" s="1"/>
  <c r="E29" i="26" s="1"/>
  <c r="I18" i="4"/>
  <c r="I31" i="4" s="1"/>
  <c r="I29" i="26" s="1"/>
  <c r="I16" i="4"/>
  <c r="J31" i="4"/>
  <c r="J16" i="4"/>
  <c r="J17" i="4"/>
  <c r="J24" i="4"/>
  <c r="J19" i="4"/>
  <c r="J20" i="4" s="1"/>
  <c r="J32" i="4" s="1"/>
  <c r="I24" i="4"/>
  <c r="I19" i="4"/>
  <c r="I17" i="4"/>
  <c r="G19" i="4"/>
  <c r="H16" i="4"/>
  <c r="H24" i="4"/>
  <c r="G31" i="46"/>
  <c r="D16" i="4"/>
  <c r="D18" i="4"/>
  <c r="D24" i="4"/>
  <c r="D17" i="4"/>
  <c r="D19" i="4"/>
  <c r="C24" i="4"/>
  <c r="C19" i="4"/>
  <c r="C20" i="4" s="1"/>
  <c r="C32" i="4" s="1"/>
  <c r="C17" i="4"/>
  <c r="E19" i="4"/>
  <c r="E17" i="4"/>
  <c r="E15" i="4" s="1"/>
  <c r="E35" i="26" s="1"/>
  <c r="H19" i="4"/>
  <c r="H20" i="4" s="1"/>
  <c r="H32" i="4" s="1"/>
  <c r="H17" i="4"/>
  <c r="H31" i="4"/>
  <c r="H29" i="26" s="1"/>
  <c r="F19" i="4"/>
  <c r="F17" i="4"/>
  <c r="E24" i="4"/>
  <c r="F31" i="42"/>
  <c r="K31" i="42"/>
  <c r="I31" i="42"/>
  <c r="D31" i="42"/>
  <c r="F30" i="42"/>
  <c r="F18" i="4"/>
  <c r="F16" i="4"/>
  <c r="F24" i="4"/>
  <c r="G18" i="4"/>
  <c r="G24" i="4"/>
  <c r="G16" i="4"/>
  <c r="G15" i="4" s="1"/>
  <c r="G35" i="26" s="1"/>
  <c r="G13" i="24"/>
  <c r="G14" i="24" s="1"/>
  <c r="D12" i="17"/>
  <c r="G13" i="16"/>
  <c r="D12" i="8"/>
  <c r="G13" i="2"/>
  <c r="I15" i="4" l="1"/>
  <c r="I35" i="26" s="1"/>
  <c r="L30" i="46"/>
  <c r="J29" i="26"/>
  <c r="J30" i="4"/>
  <c r="L12" i="46"/>
  <c r="L10" i="46"/>
  <c r="J30" i="46"/>
  <c r="E11" i="46"/>
  <c r="E12" i="46" s="1"/>
  <c r="E13" i="46" s="1"/>
  <c r="E14" i="46" s="1"/>
  <c r="E15" i="46" s="1"/>
  <c r="E16" i="46" s="1"/>
  <c r="E17" i="46" s="1"/>
  <c r="E18" i="46" s="1"/>
  <c r="E19" i="46" s="1"/>
  <c r="E20" i="46" s="1"/>
  <c r="E21" i="46" s="1"/>
  <c r="E22" i="46" s="1"/>
  <c r="E23" i="46" s="1"/>
  <c r="E24" i="46" s="1"/>
  <c r="E25" i="46" s="1"/>
  <c r="E26" i="46" s="1"/>
  <c r="E27" i="46" s="1"/>
  <c r="E28" i="46" s="1"/>
  <c r="E29" i="46" s="1"/>
  <c r="E30" i="46" s="1"/>
  <c r="E31" i="46" s="1"/>
  <c r="H15" i="4"/>
  <c r="H35" i="26" s="1"/>
  <c r="J15" i="46"/>
  <c r="L15" i="46"/>
  <c r="J23" i="46"/>
  <c r="L23" i="46"/>
  <c r="J9" i="46"/>
  <c r="L9" i="46"/>
  <c r="J13" i="46"/>
  <c r="L13" i="46"/>
  <c r="J22" i="46"/>
  <c r="L22" i="46"/>
  <c r="J31" i="46"/>
  <c r="L31" i="46"/>
  <c r="J11" i="46"/>
  <c r="L11" i="46"/>
  <c r="J19" i="46"/>
  <c r="L19" i="46"/>
  <c r="J16" i="46"/>
  <c r="L16" i="46"/>
  <c r="J28" i="46"/>
  <c r="L28" i="46"/>
  <c r="J29" i="46"/>
  <c r="L29" i="46"/>
  <c r="J7" i="46"/>
  <c r="L7" i="46"/>
  <c r="L6" i="46"/>
  <c r="J6" i="46"/>
  <c r="J24" i="46"/>
  <c r="L24" i="46"/>
  <c r="J17" i="46"/>
  <c r="L17" i="46"/>
  <c r="J25" i="46"/>
  <c r="L25" i="46"/>
  <c r="J10" i="46"/>
  <c r="J18" i="46"/>
  <c r="L18" i="46"/>
  <c r="J27" i="46"/>
  <c r="L27" i="46"/>
  <c r="J12" i="46"/>
  <c r="J20" i="46"/>
  <c r="L20" i="46"/>
  <c r="J8" i="46"/>
  <c r="L8" i="46"/>
  <c r="J21" i="46"/>
  <c r="L21" i="46"/>
  <c r="J14" i="46"/>
  <c r="L14" i="46"/>
  <c r="J26" i="46"/>
  <c r="L26" i="46"/>
  <c r="E20" i="4"/>
  <c r="E32" i="4" s="1"/>
  <c r="E30" i="26" s="1"/>
  <c r="J15" i="4"/>
  <c r="J35" i="26" s="1"/>
  <c r="I20" i="4"/>
  <c r="G31" i="4"/>
  <c r="G29" i="26" s="1"/>
  <c r="G20" i="4"/>
  <c r="G32" i="4" s="1"/>
  <c r="F15" i="4"/>
  <c r="F35" i="26" s="1"/>
  <c r="C30" i="4"/>
  <c r="C30" i="26"/>
  <c r="H30" i="4"/>
  <c r="H30" i="26"/>
  <c r="F31" i="4"/>
  <c r="F29" i="26" s="1"/>
  <c r="F20" i="4"/>
  <c r="F32" i="4" s="1"/>
  <c r="D15" i="4"/>
  <c r="D35" i="26" s="1"/>
  <c r="D20" i="4"/>
  <c r="D32" i="4" s="1"/>
  <c r="D31" i="4"/>
  <c r="D29" i="26" s="1"/>
  <c r="D13" i="25"/>
  <c r="G14" i="16"/>
  <c r="D13" i="17"/>
  <c r="D14" i="25"/>
  <c r="G15" i="24"/>
  <c r="D13" i="8"/>
  <c r="G14" i="2"/>
  <c r="I32" i="4" l="1"/>
  <c r="I30" i="4" s="1"/>
  <c r="J30" i="26"/>
  <c r="J27" i="4"/>
  <c r="J21" i="22" s="1"/>
  <c r="E30" i="4"/>
  <c r="E27" i="4" s="1"/>
  <c r="E21" i="22" s="1"/>
  <c r="E22" i="22" s="1"/>
  <c r="E24" i="22" s="1"/>
  <c r="H27" i="4"/>
  <c r="H28" i="4"/>
  <c r="H37" i="4"/>
  <c r="D30" i="26"/>
  <c r="D30" i="4"/>
  <c r="C27" i="4"/>
  <c r="C37" i="4"/>
  <c r="C28" i="4"/>
  <c r="G30" i="26"/>
  <c r="G30" i="4"/>
  <c r="F30" i="4"/>
  <c r="F30" i="26"/>
  <c r="G15" i="16"/>
  <c r="D14" i="17"/>
  <c r="D14" i="8"/>
  <c r="G15" i="2"/>
  <c r="D15" i="25"/>
  <c r="G16" i="24"/>
  <c r="B38" i="4" l="1"/>
  <c r="C38" i="4" s="1"/>
  <c r="I30" i="26"/>
  <c r="J22" i="22"/>
  <c r="J24" i="22" s="1"/>
  <c r="I37" i="4"/>
  <c r="I27" i="4"/>
  <c r="I25" i="26" s="1"/>
  <c r="I28" i="4"/>
  <c r="I26" i="26" s="1"/>
  <c r="E37" i="4"/>
  <c r="E25" i="26"/>
  <c r="E35" i="4"/>
  <c r="E31" i="26" s="1"/>
  <c r="E28" i="4"/>
  <c r="E36" i="4" s="1"/>
  <c r="E32" i="26" s="1"/>
  <c r="J28" i="4"/>
  <c r="J26" i="26" s="1"/>
  <c r="J25" i="26"/>
  <c r="J37" i="4"/>
  <c r="C35" i="4"/>
  <c r="C31" i="26" s="1"/>
  <c r="C21" i="22"/>
  <c r="C22" i="22" s="1"/>
  <c r="C25" i="26"/>
  <c r="F37" i="4"/>
  <c r="F28" i="4"/>
  <c r="F27" i="4"/>
  <c r="D28" i="4"/>
  <c r="D37" i="4"/>
  <c r="D27" i="4"/>
  <c r="G37" i="4"/>
  <c r="G27" i="4"/>
  <c r="G28" i="4"/>
  <c r="H21" i="14"/>
  <c r="H22" i="14" s="1"/>
  <c r="H24" i="14" s="1"/>
  <c r="H36" i="4"/>
  <c r="H32" i="26" s="1"/>
  <c r="H11" i="4"/>
  <c r="H29" i="4"/>
  <c r="H27" i="26" s="1"/>
  <c r="H26" i="26"/>
  <c r="H21" i="22"/>
  <c r="H22" i="22" s="1"/>
  <c r="H24" i="22" s="1"/>
  <c r="H25" i="26"/>
  <c r="H35" i="4"/>
  <c r="H31" i="26" s="1"/>
  <c r="C36" i="4"/>
  <c r="C32" i="26" s="1"/>
  <c r="C11" i="4"/>
  <c r="C26" i="26"/>
  <c r="C21" i="14"/>
  <c r="C22" i="14" s="1"/>
  <c r="C24" i="14" s="1"/>
  <c r="C16" i="14" s="1"/>
  <c r="C29" i="4"/>
  <c r="C27" i="26" s="1"/>
  <c r="D15" i="17"/>
  <c r="G16" i="16"/>
  <c r="D16" i="25"/>
  <c r="G17" i="24"/>
  <c r="D15" i="8"/>
  <c r="G16" i="2"/>
  <c r="C24" i="22" l="1"/>
  <c r="C16" i="22" s="1"/>
  <c r="I36" i="4"/>
  <c r="I32" i="26" s="1"/>
  <c r="I21" i="14"/>
  <c r="I22" i="14" s="1"/>
  <c r="I24" i="14" s="1"/>
  <c r="I35" i="4"/>
  <c r="I31" i="26" s="1"/>
  <c r="I29" i="4"/>
  <c r="I27" i="26" s="1"/>
  <c r="I21" i="22"/>
  <c r="I22" i="22" s="1"/>
  <c r="I24" i="22" s="1"/>
  <c r="I11" i="4"/>
  <c r="E21" i="14"/>
  <c r="E22" i="14" s="1"/>
  <c r="E24" i="14" s="1"/>
  <c r="E29" i="4"/>
  <c r="E27" i="26" s="1"/>
  <c r="E26" i="26"/>
  <c r="E11" i="4"/>
  <c r="J36" i="4"/>
  <c r="J32" i="26" s="1"/>
  <c r="J29" i="4"/>
  <c r="J27" i="26" s="1"/>
  <c r="J21" i="14"/>
  <c r="J22" i="14" s="1"/>
  <c r="J24" i="14" s="1"/>
  <c r="J35" i="4"/>
  <c r="J31" i="26" s="1"/>
  <c r="J11" i="4"/>
  <c r="D26" i="26"/>
  <c r="D36" i="4"/>
  <c r="D32" i="26" s="1"/>
  <c r="D11" i="4"/>
  <c r="D21" i="14"/>
  <c r="D22" i="14" s="1"/>
  <c r="D24" i="14" s="1"/>
  <c r="D29" i="4"/>
  <c r="D27" i="26" s="1"/>
  <c r="F21" i="22"/>
  <c r="F22" i="22" s="1"/>
  <c r="F24" i="22" s="1"/>
  <c r="F35" i="4"/>
  <c r="F31" i="26" s="1"/>
  <c r="F25" i="26"/>
  <c r="G11" i="4"/>
  <c r="G36" i="4"/>
  <c r="G32" i="26" s="1"/>
  <c r="G21" i="14"/>
  <c r="G22" i="14" s="1"/>
  <c r="G24" i="14" s="1"/>
  <c r="G26" i="26"/>
  <c r="G29" i="4"/>
  <c r="G27" i="26" s="1"/>
  <c r="F29" i="4"/>
  <c r="F27" i="26" s="1"/>
  <c r="F26" i="26"/>
  <c r="F11" i="4"/>
  <c r="F21" i="14"/>
  <c r="F22" i="14" s="1"/>
  <c r="F24" i="14" s="1"/>
  <c r="F36" i="4"/>
  <c r="F32" i="26" s="1"/>
  <c r="G35" i="4"/>
  <c r="G31" i="26" s="1"/>
  <c r="G25" i="26"/>
  <c r="G21" i="22"/>
  <c r="G22" i="22" s="1"/>
  <c r="G24" i="22" s="1"/>
  <c r="C12" i="14"/>
  <c r="C13" i="14" s="1"/>
  <c r="D15" i="14"/>
  <c r="D11" i="14" s="1"/>
  <c r="D37" i="26" s="1"/>
  <c r="C4" i="14"/>
  <c r="D35" i="4"/>
  <c r="D31" i="26" s="1"/>
  <c r="D25" i="26"/>
  <c r="D21" i="22"/>
  <c r="D22" i="22" s="1"/>
  <c r="D24" i="22" s="1"/>
  <c r="G17" i="16"/>
  <c r="D16" i="17"/>
  <c r="D16" i="8"/>
  <c r="G17" i="2"/>
  <c r="D17" i="25"/>
  <c r="G18" i="24"/>
  <c r="D15" i="22" l="1"/>
  <c r="D16" i="22" s="1"/>
  <c r="D4" i="22" s="1"/>
  <c r="C12" i="22"/>
  <c r="C13" i="22" s="1"/>
  <c r="C4" i="22"/>
  <c r="D3" i="22" s="1"/>
  <c r="D9" i="22" s="1"/>
  <c r="D16" i="14"/>
  <c r="D4" i="14" s="1"/>
  <c r="C38" i="26"/>
  <c r="C43" i="26"/>
  <c r="C10" i="14"/>
  <c r="D3" i="14"/>
  <c r="D9" i="14" s="1"/>
  <c r="G18" i="16"/>
  <c r="D17" i="17"/>
  <c r="D18" i="25"/>
  <c r="G19" i="24"/>
  <c r="D17" i="8"/>
  <c r="G18" i="2"/>
  <c r="C10" i="22" l="1"/>
  <c r="D11" i="22"/>
  <c r="D42" i="26" s="1"/>
  <c r="D12" i="22"/>
  <c r="E15" i="22"/>
  <c r="E11" i="22" s="1"/>
  <c r="D12" i="14"/>
  <c r="D13" i="14" s="1"/>
  <c r="E15" i="14"/>
  <c r="E11" i="14" s="1"/>
  <c r="E37" i="26" s="1"/>
  <c r="D43" i="26"/>
  <c r="E3" i="14"/>
  <c r="E9" i="14" s="1"/>
  <c r="D10" i="14"/>
  <c r="D8" i="14" s="1"/>
  <c r="D10" i="22"/>
  <c r="D8" i="22" s="1"/>
  <c r="E3" i="22"/>
  <c r="E9" i="22" s="1"/>
  <c r="G19" i="16"/>
  <c r="D18" i="17"/>
  <c r="D18" i="8"/>
  <c r="G19" i="2"/>
  <c r="D19" i="25"/>
  <c r="G20" i="24"/>
  <c r="D41" i="26" l="1"/>
  <c r="D13" i="22"/>
  <c r="E16" i="22"/>
  <c r="E42" i="26"/>
  <c r="E16" i="14"/>
  <c r="E12" i="14" s="1"/>
  <c r="E13" i="14" s="1"/>
  <c r="D38" i="26"/>
  <c r="G20" i="16"/>
  <c r="D19" i="17"/>
  <c r="D20" i="25"/>
  <c r="G21" i="24"/>
  <c r="D19" i="8"/>
  <c r="G20" i="2"/>
  <c r="E4" i="22" l="1"/>
  <c r="E10" i="22" s="1"/>
  <c r="E8" i="22" s="1"/>
  <c r="E45" i="26" s="1"/>
  <c r="F15" i="22"/>
  <c r="F16" i="22" s="1"/>
  <c r="E12" i="22"/>
  <c r="E13" i="22" s="1"/>
  <c r="F15" i="14"/>
  <c r="F16" i="14" s="1"/>
  <c r="E4" i="14"/>
  <c r="E10" i="14" s="1"/>
  <c r="E8" i="14" s="1"/>
  <c r="E38" i="26"/>
  <c r="D20" i="17"/>
  <c r="G21" i="16"/>
  <c r="D20" i="8"/>
  <c r="G21" i="2"/>
  <c r="D21" i="25"/>
  <c r="G22" i="24"/>
  <c r="E43" i="26" l="1"/>
  <c r="E41" i="26" s="1"/>
  <c r="F3" i="22"/>
  <c r="F9" i="22" s="1"/>
  <c r="F11" i="14"/>
  <c r="F37" i="26" s="1"/>
  <c r="F11" i="22"/>
  <c r="F42" i="26" s="1"/>
  <c r="F3" i="14"/>
  <c r="F9" i="14" s="1"/>
  <c r="G15" i="22"/>
  <c r="F4" i="22"/>
  <c r="F12" i="22"/>
  <c r="F43" i="26" s="1"/>
  <c r="F4" i="14"/>
  <c r="G15" i="14"/>
  <c r="F12" i="14"/>
  <c r="D21" i="17"/>
  <c r="G22" i="16"/>
  <c r="D22" i="25"/>
  <c r="G23" i="24"/>
  <c r="D21" i="8"/>
  <c r="G22" i="2"/>
  <c r="F41" i="26" l="1"/>
  <c r="F13" i="22"/>
  <c r="F13" i="14"/>
  <c r="F38" i="26"/>
  <c r="G11" i="14"/>
  <c r="G37" i="26" s="1"/>
  <c r="G16" i="14"/>
  <c r="F10" i="14"/>
  <c r="F8" i="14" s="1"/>
  <c r="G3" i="14"/>
  <c r="G9" i="14" s="1"/>
  <c r="G3" i="22"/>
  <c r="G9" i="22" s="1"/>
  <c r="F10" i="22"/>
  <c r="F8" i="22" s="1"/>
  <c r="F45" i="26" s="1"/>
  <c r="G11" i="22"/>
  <c r="G42" i="26" s="1"/>
  <c r="G16" i="22"/>
  <c r="G23" i="16"/>
  <c r="D22" i="17"/>
  <c r="D22" i="8"/>
  <c r="G23" i="2"/>
  <c r="D23" i="25"/>
  <c r="G24" i="24"/>
  <c r="G4" i="22" l="1"/>
  <c r="H15" i="22"/>
  <c r="G12" i="22"/>
  <c r="G13" i="22" s="1"/>
  <c r="H15" i="14"/>
  <c r="G4" i="14"/>
  <c r="G12" i="14"/>
  <c r="G13" i="14" s="1"/>
  <c r="D23" i="17"/>
  <c r="G24" i="16"/>
  <c r="D24" i="25"/>
  <c r="G25" i="24"/>
  <c r="D23" i="8"/>
  <c r="G24" i="2"/>
  <c r="G43" i="26" l="1"/>
  <c r="G41" i="26" s="1"/>
  <c r="G38" i="26"/>
  <c r="H11" i="22"/>
  <c r="H42" i="26" s="1"/>
  <c r="H16" i="22"/>
  <c r="H11" i="14"/>
  <c r="H37" i="26" s="1"/>
  <c r="H16" i="14"/>
  <c r="H3" i="14"/>
  <c r="H9" i="14" s="1"/>
  <c r="G10" i="14"/>
  <c r="G8" i="14" s="1"/>
  <c r="H3" i="22"/>
  <c r="H9" i="22" s="1"/>
  <c r="G10" i="22"/>
  <c r="G8" i="22" s="1"/>
  <c r="G25" i="16"/>
  <c r="D24" i="17"/>
  <c r="D24" i="8"/>
  <c r="G25" i="2"/>
  <c r="D25" i="25"/>
  <c r="G26" i="24"/>
  <c r="I15" i="14" l="1"/>
  <c r="H4" i="14"/>
  <c r="H12" i="14"/>
  <c r="H13" i="14" s="1"/>
  <c r="H4" i="22"/>
  <c r="I15" i="22"/>
  <c r="H12" i="22"/>
  <c r="H43" i="26" s="1"/>
  <c r="H41" i="26" s="1"/>
  <c r="D25" i="17"/>
  <c r="G26" i="16"/>
  <c r="D26" i="25"/>
  <c r="G27" i="24"/>
  <c r="D25" i="8"/>
  <c r="G26" i="2"/>
  <c r="H38" i="26" l="1"/>
  <c r="I11" i="22"/>
  <c r="I42" i="26" s="1"/>
  <c r="I16" i="22"/>
  <c r="I11" i="14"/>
  <c r="I37" i="26" s="1"/>
  <c r="I16" i="14"/>
  <c r="H13" i="22"/>
  <c r="H10" i="22"/>
  <c r="H8" i="22" s="1"/>
  <c r="I3" i="22"/>
  <c r="I9" i="22" s="1"/>
  <c r="H10" i="14"/>
  <c r="H8" i="14" s="1"/>
  <c r="I3" i="14"/>
  <c r="I9" i="14" s="1"/>
  <c r="G27" i="16"/>
  <c r="D26" i="17"/>
  <c r="D26" i="8"/>
  <c r="G27" i="2"/>
  <c r="D27" i="25"/>
  <c r="G28" i="24"/>
  <c r="J15" i="14" l="1"/>
  <c r="J11" i="14" s="1"/>
  <c r="J13" i="14" s="1"/>
  <c r="I12" i="14"/>
  <c r="I4" i="14"/>
  <c r="I4" i="22"/>
  <c r="I12" i="22"/>
  <c r="I43" i="26" s="1"/>
  <c r="B46" i="26" s="1"/>
  <c r="C46" i="26" s="1"/>
  <c r="J15" i="22"/>
  <c r="D27" i="17"/>
  <c r="G28" i="16"/>
  <c r="D28" i="25"/>
  <c r="G29" i="24"/>
  <c r="D27" i="8"/>
  <c r="G28" i="2"/>
  <c r="I41" i="26" l="1"/>
  <c r="J41" i="26"/>
  <c r="J11" i="22"/>
  <c r="J13" i="22" s="1"/>
  <c r="J37" i="26"/>
  <c r="J3" i="22"/>
  <c r="J9" i="22" s="1"/>
  <c r="J8" i="22" s="1"/>
  <c r="I10" i="22"/>
  <c r="I8" i="22" s="1"/>
  <c r="I13" i="22"/>
  <c r="I10" i="14"/>
  <c r="I8" i="14" s="1"/>
  <c r="J3" i="14"/>
  <c r="J9" i="14" s="1"/>
  <c r="J8" i="14" s="1"/>
  <c r="I38" i="26"/>
  <c r="I13" i="14"/>
  <c r="D28" i="17"/>
  <c r="G29" i="16"/>
  <c r="D28" i="8"/>
  <c r="G29" i="2"/>
  <c r="D29" i="25"/>
  <c r="G30" i="24"/>
  <c r="J42" i="26" l="1"/>
  <c r="G7" i="48"/>
  <c r="G14" i="48"/>
  <c r="AH8" i="42"/>
  <c r="G28" i="48"/>
  <c r="AH18" i="42"/>
  <c r="G27" i="48"/>
  <c r="AH27" i="42"/>
  <c r="G11" i="48"/>
  <c r="AH12" i="42"/>
  <c r="G5" i="48"/>
  <c r="AH26" i="42"/>
  <c r="AH25" i="42"/>
  <c r="AH24" i="42"/>
  <c r="G22" i="48"/>
  <c r="AH10" i="42"/>
  <c r="AH11" i="42"/>
  <c r="G10" i="48"/>
  <c r="G19" i="48"/>
  <c r="AH7" i="42"/>
  <c r="AH17" i="42"/>
  <c r="G6" i="48"/>
  <c r="G21" i="48"/>
  <c r="G26" i="48"/>
  <c r="G16" i="48"/>
  <c r="AH14" i="42"/>
  <c r="AH16" i="42"/>
  <c r="G20" i="48"/>
  <c r="AH28" i="42"/>
  <c r="G8" i="48"/>
  <c r="G13" i="48"/>
  <c r="AH6" i="42"/>
  <c r="G9" i="48"/>
  <c r="AH20" i="42"/>
  <c r="G23" i="48"/>
  <c r="AH19" i="42"/>
  <c r="G12" i="48"/>
  <c r="AH13" i="42"/>
  <c r="AH9" i="42"/>
  <c r="G15" i="48"/>
  <c r="G24" i="48"/>
  <c r="AH22" i="42"/>
  <c r="AH23" i="42"/>
  <c r="G17" i="48"/>
  <c r="AH5" i="42"/>
  <c r="AH15" i="42"/>
  <c r="G18" i="48"/>
  <c r="AH21" i="42"/>
  <c r="G25" i="48"/>
  <c r="T10" i="42"/>
  <c r="G15" i="47"/>
  <c r="T6" i="42"/>
  <c r="T21" i="42"/>
  <c r="G24" i="47"/>
  <c r="G22" i="47"/>
  <c r="G10" i="47"/>
  <c r="G12" i="47"/>
  <c r="T17" i="42"/>
  <c r="T26" i="42"/>
  <c r="G21" i="47"/>
  <c r="G27" i="47"/>
  <c r="G5" i="47"/>
  <c r="G14" i="47"/>
  <c r="G17" i="47"/>
  <c r="T20" i="42"/>
  <c r="G20" i="47"/>
  <c r="T28" i="42"/>
  <c r="T8" i="42"/>
  <c r="T11" i="42"/>
  <c r="T13" i="42"/>
  <c r="G9" i="47"/>
  <c r="G18" i="47"/>
  <c r="T23" i="42"/>
  <c r="T25" i="42"/>
  <c r="T14" i="42"/>
  <c r="T9" i="42"/>
  <c r="G8" i="47"/>
  <c r="T5" i="42"/>
  <c r="T27" i="42"/>
  <c r="T24" i="42"/>
  <c r="G28" i="47"/>
  <c r="T16" i="42"/>
  <c r="G11" i="47"/>
  <c r="T15" i="42"/>
  <c r="G26" i="47"/>
  <c r="G25" i="47"/>
  <c r="G7" i="47"/>
  <c r="T7" i="42"/>
  <c r="T12" i="42"/>
  <c r="G23" i="47"/>
  <c r="T22" i="42"/>
  <c r="G16" i="47"/>
  <c r="G6" i="47"/>
  <c r="G13" i="47"/>
  <c r="T18" i="42"/>
  <c r="T19" i="42"/>
  <c r="G19" i="47"/>
  <c r="T30" i="42"/>
  <c r="G29" i="47"/>
  <c r="T31" i="42"/>
  <c r="G30" i="47"/>
  <c r="T29" i="42"/>
  <c r="G31" i="47"/>
  <c r="C29" i="7"/>
  <c r="C30" i="7" s="1"/>
  <c r="C34" i="7" s="1"/>
  <c r="D16" i="26" s="1"/>
  <c r="G29" i="48"/>
  <c r="D29" i="7"/>
  <c r="D30" i="7" s="1"/>
  <c r="D34" i="7" s="1"/>
  <c r="E16" i="26" s="1"/>
  <c r="G30" i="48"/>
  <c r="AH30" i="42"/>
  <c r="G31" i="48"/>
  <c r="AH29" i="42"/>
  <c r="AH31" i="42"/>
  <c r="D29" i="17"/>
  <c r="G30" i="16"/>
  <c r="D30" i="25"/>
  <c r="G31" i="24"/>
  <c r="D29" i="8"/>
  <c r="G30" i="2"/>
  <c r="L31" i="48" l="1"/>
  <c r="J31" i="48"/>
  <c r="L29" i="48"/>
  <c r="J29" i="48"/>
  <c r="L30" i="47"/>
  <c r="J30" i="47"/>
  <c r="L19" i="47"/>
  <c r="J19" i="47"/>
  <c r="L6" i="47"/>
  <c r="J6" i="47"/>
  <c r="L26" i="47"/>
  <c r="J26" i="47"/>
  <c r="L28" i="47"/>
  <c r="J28" i="47"/>
  <c r="J8" i="47"/>
  <c r="L8" i="47"/>
  <c r="L27" i="47"/>
  <c r="J27" i="47"/>
  <c r="J12" i="47"/>
  <c r="L12" i="47"/>
  <c r="L25" i="48"/>
  <c r="J25" i="48"/>
  <c r="L24" i="48"/>
  <c r="J24" i="48"/>
  <c r="J12" i="48"/>
  <c r="L12" i="48"/>
  <c r="L9" i="48"/>
  <c r="J9" i="48"/>
  <c r="L16" i="48"/>
  <c r="J16" i="48"/>
  <c r="L11" i="48"/>
  <c r="J11" i="48"/>
  <c r="J28" i="48"/>
  <c r="L28" i="48"/>
  <c r="J16" i="47"/>
  <c r="L16" i="47"/>
  <c r="L18" i="47"/>
  <c r="J18" i="47"/>
  <c r="L17" i="47"/>
  <c r="J17" i="47"/>
  <c r="L21" i="47"/>
  <c r="J21" i="47"/>
  <c r="L10" i="47"/>
  <c r="J10" i="47"/>
  <c r="L17" i="48"/>
  <c r="J17" i="48"/>
  <c r="L15" i="48"/>
  <c r="J15" i="48"/>
  <c r="L20" i="48"/>
  <c r="J20" i="48"/>
  <c r="L26" i="48"/>
  <c r="J26" i="48"/>
  <c r="L30" i="48"/>
  <c r="J30" i="48"/>
  <c r="L31" i="47"/>
  <c r="J31" i="47"/>
  <c r="L29" i="47"/>
  <c r="J29" i="47"/>
  <c r="L7" i="47"/>
  <c r="J7" i="47"/>
  <c r="L11" i="47"/>
  <c r="J11" i="47"/>
  <c r="L9" i="47"/>
  <c r="J9" i="47"/>
  <c r="L14" i="47"/>
  <c r="J14" i="47"/>
  <c r="L22" i="47"/>
  <c r="J22" i="47"/>
  <c r="L15" i="47"/>
  <c r="J15" i="47"/>
  <c r="L18" i="48"/>
  <c r="J18" i="48"/>
  <c r="L23" i="48"/>
  <c r="J23" i="48"/>
  <c r="L13" i="48"/>
  <c r="J13" i="48"/>
  <c r="L21" i="48"/>
  <c r="J21" i="48"/>
  <c r="L19" i="48"/>
  <c r="J19" i="48"/>
  <c r="L22" i="48"/>
  <c r="J22" i="48"/>
  <c r="L27" i="48"/>
  <c r="J27" i="48"/>
  <c r="L14" i="48"/>
  <c r="J14" i="48"/>
  <c r="L13" i="47"/>
  <c r="J13" i="47"/>
  <c r="L23" i="47"/>
  <c r="J23" i="47"/>
  <c r="L25" i="47"/>
  <c r="J25" i="47"/>
  <c r="J20" i="47"/>
  <c r="L20" i="47"/>
  <c r="J24" i="47"/>
  <c r="L24" i="47"/>
  <c r="L8" i="48"/>
  <c r="J8" i="48"/>
  <c r="L6" i="48"/>
  <c r="J6" i="48"/>
  <c r="L10" i="48"/>
  <c r="J10" i="48"/>
  <c r="L7" i="48"/>
  <c r="J7" i="48"/>
  <c r="F16" i="26"/>
  <c r="D30" i="17"/>
  <c r="G31" i="16"/>
  <c r="D30" i="8"/>
  <c r="G31" i="2"/>
  <c r="D31" i="25"/>
  <c r="G32" i="24"/>
  <c r="D31" i="17" l="1"/>
  <c r="G32" i="16"/>
  <c r="D32" i="25"/>
  <c r="G33" i="24"/>
  <c r="D31" i="8"/>
  <c r="G32" i="2"/>
  <c r="D32" i="17" l="1"/>
  <c r="G33" i="16"/>
  <c r="D32" i="8"/>
  <c r="G33" i="2"/>
  <c r="D33" i="25"/>
  <c r="G34" i="24"/>
  <c r="D33" i="17" l="1"/>
  <c r="G34" i="16"/>
  <c r="D34" i="25"/>
  <c r="G35" i="24"/>
  <c r="D33" i="8"/>
  <c r="G34" i="2"/>
  <c r="D34" i="17" l="1"/>
  <c r="G35" i="16"/>
  <c r="D34" i="8"/>
  <c r="G35" i="2"/>
  <c r="D35" i="25"/>
  <c r="G36" i="24"/>
  <c r="D35" i="17" l="1"/>
  <c r="G36" i="16"/>
  <c r="D36" i="25"/>
  <c r="G37" i="24"/>
  <c r="D35" i="8"/>
  <c r="G36" i="2"/>
  <c r="G37" i="16" l="1"/>
  <c r="D36" i="17"/>
  <c r="D36" i="8"/>
  <c r="G37" i="2"/>
  <c r="D37" i="25"/>
  <c r="G38" i="24"/>
  <c r="D37" i="17" l="1"/>
  <c r="G38" i="16"/>
  <c r="D38" i="25"/>
  <c r="G39" i="24"/>
  <c r="D37" i="8"/>
  <c r="G38" i="2"/>
  <c r="D38" i="17" l="1"/>
  <c r="G39" i="16"/>
  <c r="D38" i="8"/>
  <c r="G39" i="2"/>
  <c r="D39" i="25"/>
  <c r="G40" i="24"/>
  <c r="D39" i="17" l="1"/>
  <c r="G40" i="16"/>
  <c r="D40" i="25"/>
  <c r="G41" i="24"/>
  <c r="D39" i="8"/>
  <c r="G40" i="2"/>
  <c r="D40" i="17" l="1"/>
  <c r="G41" i="16"/>
  <c r="D40" i="8"/>
  <c r="G41" i="2"/>
  <c r="D41" i="25"/>
  <c r="G42" i="24"/>
  <c r="G42" i="16" l="1"/>
  <c r="D41" i="17"/>
  <c r="G43" i="24"/>
  <c r="D42" i="25"/>
  <c r="D41" i="8"/>
  <c r="G42" i="2"/>
  <c r="D42" i="17" l="1"/>
  <c r="G43" i="16"/>
  <c r="D42" i="8"/>
  <c r="G43" i="2"/>
  <c r="G44" i="24"/>
  <c r="D43" i="25"/>
  <c r="G44" i="16" l="1"/>
  <c r="D43" i="17"/>
  <c r="G45" i="24"/>
  <c r="D44" i="25"/>
  <c r="D43" i="8"/>
  <c r="G44" i="2"/>
  <c r="G45" i="16" l="1"/>
  <c r="D44" i="17"/>
  <c r="D44" i="8"/>
  <c r="G45" i="2"/>
  <c r="D45" i="25"/>
  <c r="G46" i="24"/>
  <c r="D45" i="17" l="1"/>
  <c r="G46" i="16"/>
  <c r="D46" i="25"/>
  <c r="G47" i="24"/>
  <c r="G46" i="2"/>
  <c r="D45" i="8"/>
  <c r="G47" i="16" l="1"/>
  <c r="D46" i="17"/>
  <c r="G47" i="2"/>
  <c r="D46" i="8"/>
  <c r="D47" i="25"/>
  <c r="G48" i="24"/>
  <c r="D47" i="17" l="1"/>
  <c r="G48" i="16"/>
  <c r="D48" i="25"/>
  <c r="G49" i="24"/>
  <c r="D47" i="8"/>
  <c r="G48" i="2"/>
  <c r="G49" i="16" l="1"/>
  <c r="D48" i="17"/>
  <c r="D48" i="8"/>
  <c r="G49" i="2"/>
  <c r="D49" i="25"/>
  <c r="G50" i="24"/>
  <c r="G50" i="16" l="1"/>
  <c r="D49" i="17"/>
  <c r="D50" i="25"/>
  <c r="G51" i="24"/>
  <c r="G50" i="2"/>
  <c r="D49" i="8"/>
  <c r="G51" i="16" l="1"/>
  <c r="D50" i="17"/>
  <c r="G51" i="2"/>
  <c r="D50" i="8"/>
  <c r="G52" i="24"/>
  <c r="D51" i="25"/>
  <c r="D51" i="17" l="1"/>
  <c r="G52" i="16"/>
  <c r="D52" i="25"/>
  <c r="G53" i="24"/>
  <c r="D51" i="8"/>
  <c r="G52" i="2"/>
  <c r="G53" i="16" l="1"/>
  <c r="D52" i="17"/>
  <c r="D52" i="8"/>
  <c r="G53" i="2"/>
  <c r="D53" i="25"/>
  <c r="G54" i="24"/>
  <c r="G54" i="16" l="1"/>
  <c r="D53" i="17"/>
  <c r="D54" i="25"/>
  <c r="G55" i="24"/>
  <c r="D53" i="8"/>
  <c r="G54" i="2"/>
  <c r="D54" i="17" l="1"/>
  <c r="G55" i="16"/>
  <c r="D54" i="8"/>
  <c r="G55" i="2"/>
  <c r="G56" i="24"/>
  <c r="D55" i="25"/>
  <c r="D55" i="17" l="1"/>
  <c r="G56" i="16"/>
  <c r="D55" i="8"/>
  <c r="G56" i="2"/>
  <c r="D56" i="25"/>
  <c r="G57" i="24"/>
  <c r="D56" i="17" l="1"/>
  <c r="G57" i="16"/>
  <c r="D57" i="25"/>
  <c r="G58" i="24"/>
  <c r="D56" i="8"/>
  <c r="G57" i="2"/>
  <c r="D57" i="17" l="1"/>
  <c r="G58" i="16"/>
  <c r="D57" i="8"/>
  <c r="G58" i="2"/>
  <c r="D58" i="25"/>
  <c r="G59" i="24"/>
  <c r="G59" i="16" l="1"/>
  <c r="D58" i="17"/>
  <c r="D59" i="25"/>
  <c r="G60" i="24"/>
  <c r="D58" i="8"/>
  <c r="G59" i="2"/>
  <c r="D59" i="17" l="1"/>
  <c r="G60" i="16"/>
  <c r="D59" i="8"/>
  <c r="G60" i="2"/>
  <c r="D60" i="25"/>
  <c r="G61" i="24"/>
  <c r="G61" i="16" l="1"/>
  <c r="D60" i="17"/>
  <c r="D61" i="25"/>
  <c r="G62" i="24"/>
  <c r="G61" i="2"/>
  <c r="D60" i="8"/>
  <c r="D61" i="17" l="1"/>
  <c r="G62" i="16"/>
  <c r="D62" i="25"/>
  <c r="G63" i="24"/>
  <c r="G62" i="2"/>
  <c r="D61" i="8"/>
  <c r="D62" i="17" l="1"/>
  <c r="G63" i="16"/>
  <c r="G63" i="2"/>
  <c r="D62" i="8"/>
  <c r="D63" i="25"/>
  <c r="G64" i="24"/>
  <c r="D63" i="17" l="1"/>
  <c r="G64" i="16"/>
  <c r="D64" i="25"/>
  <c r="G65" i="24"/>
  <c r="D63" i="8"/>
  <c r="G64" i="2"/>
  <c r="G65" i="16" l="1"/>
  <c r="D64" i="17"/>
  <c r="G65" i="2"/>
  <c r="D64" i="8"/>
  <c r="G66" i="24"/>
  <c r="D65" i="25"/>
  <c r="D65" i="17" l="1"/>
  <c r="G66" i="16"/>
  <c r="G67" i="24"/>
  <c r="D66" i="25"/>
  <c r="D65" i="8"/>
  <c r="G66" i="2"/>
  <c r="D66" i="17" l="1"/>
  <c r="G67" i="16"/>
  <c r="G68" i="24"/>
  <c r="D67" i="25"/>
  <c r="D66" i="8"/>
  <c r="G67" i="2"/>
  <c r="D67" i="17" l="1"/>
  <c r="G68" i="16"/>
  <c r="D67" i="8"/>
  <c r="G68" i="2"/>
  <c r="G69" i="24"/>
  <c r="D68" i="25"/>
  <c r="D68" i="17" l="1"/>
  <c r="G69" i="16"/>
  <c r="D69" i="25"/>
  <c r="G70" i="24"/>
  <c r="D68" i="8"/>
  <c r="G69" i="2"/>
  <c r="D69" i="17" l="1"/>
  <c r="G70" i="16"/>
  <c r="G70" i="2"/>
  <c r="D69" i="8"/>
  <c r="D70" i="25"/>
  <c r="G71" i="24"/>
  <c r="D70" i="17" l="1"/>
  <c r="G71" i="16"/>
  <c r="G72" i="24"/>
  <c r="D71" i="25"/>
  <c r="G71" i="2"/>
  <c r="D70" i="8"/>
  <c r="D71" i="17" l="1"/>
  <c r="G72" i="16"/>
  <c r="D71" i="8"/>
  <c r="G72" i="2"/>
  <c r="D72" i="25"/>
  <c r="G73" i="24"/>
  <c r="D72" i="17" l="1"/>
  <c r="G73" i="16"/>
  <c r="D73" i="25"/>
  <c r="G74" i="24"/>
  <c r="D72" i="8"/>
  <c r="G73" i="2"/>
  <c r="D73" i="17" l="1"/>
  <c r="G74" i="16"/>
  <c r="D73" i="8"/>
  <c r="G74" i="2"/>
  <c r="G75" i="24"/>
  <c r="D74" i="25"/>
  <c r="G75" i="16" l="1"/>
  <c r="D74" i="17"/>
  <c r="D75" i="25"/>
  <c r="G76" i="24"/>
  <c r="D74" i="8"/>
  <c r="G75" i="2"/>
  <c r="G76" i="16" l="1"/>
  <c r="D75" i="17"/>
  <c r="D75" i="8"/>
  <c r="G76" i="2"/>
  <c r="D76" i="25"/>
  <c r="G77" i="24"/>
  <c r="G77" i="16" l="1"/>
  <c r="D76" i="17"/>
  <c r="D77" i="25"/>
  <c r="G78" i="24"/>
  <c r="G77" i="2"/>
  <c r="D76" i="8"/>
  <c r="D77" i="17" l="1"/>
  <c r="G78" i="16"/>
  <c r="D77" i="8"/>
  <c r="G78" i="2"/>
  <c r="D78" i="25"/>
  <c r="G79" i="24"/>
  <c r="G79" i="16" l="1"/>
  <c r="D78" i="17"/>
  <c r="D79" i="25"/>
  <c r="G80" i="24"/>
  <c r="D78" i="8"/>
  <c r="G79" i="2"/>
  <c r="D79" i="17" l="1"/>
  <c r="G80" i="16"/>
  <c r="D79" i="8"/>
  <c r="G80" i="2"/>
  <c r="D80" i="25"/>
  <c r="G81" i="24"/>
  <c r="D80" i="17" l="1"/>
  <c r="G81" i="16"/>
  <c r="D80" i="8"/>
  <c r="G81" i="2"/>
  <c r="D81" i="25"/>
  <c r="G82" i="24"/>
  <c r="D81" i="17" l="1"/>
  <c r="G82" i="16"/>
  <c r="D82" i="25"/>
  <c r="G83" i="24"/>
  <c r="D81" i="8"/>
  <c r="G82" i="2"/>
  <c r="G83" i="16" l="1"/>
  <c r="D82" i="17"/>
  <c r="D82" i="8"/>
  <c r="G83" i="2"/>
  <c r="G84" i="24"/>
  <c r="D83" i="25"/>
  <c r="G84" i="16" l="1"/>
  <c r="D83" i="17"/>
  <c r="G85" i="24"/>
  <c r="D84" i="25"/>
  <c r="D83" i="8"/>
  <c r="G84" i="2"/>
  <c r="D84" i="17" l="1"/>
  <c r="G85" i="16"/>
  <c r="D85" i="25"/>
  <c r="G86" i="24"/>
  <c r="D84" i="8"/>
  <c r="G85" i="2"/>
  <c r="G86" i="16" l="1"/>
  <c r="D85" i="17"/>
  <c r="D85" i="8"/>
  <c r="G86" i="2"/>
  <c r="G87" i="24"/>
  <c r="D86" i="25"/>
  <c r="D86" i="17" l="1"/>
  <c r="G87" i="16"/>
  <c r="D87" i="25"/>
  <c r="G88" i="24"/>
  <c r="D86" i="8"/>
  <c r="G87" i="2"/>
  <c r="D87" i="17" l="1"/>
  <c r="G88" i="16"/>
  <c r="G88" i="2"/>
  <c r="D87" i="8"/>
  <c r="G89" i="24"/>
  <c r="D88" i="25"/>
  <c r="G89" i="16" l="1"/>
  <c r="D88" i="17"/>
  <c r="D89" i="25"/>
  <c r="G90" i="24"/>
  <c r="D88" i="8"/>
  <c r="G89" i="2"/>
  <c r="G90" i="16" l="1"/>
  <c r="D89" i="17"/>
  <c r="D89" i="8"/>
  <c r="G90" i="2"/>
  <c r="D90" i="25"/>
  <c r="G91" i="24"/>
  <c r="D90" i="17" l="1"/>
  <c r="G91" i="16"/>
  <c r="G92" i="24"/>
  <c r="D91" i="25"/>
  <c r="G91" i="2"/>
  <c r="D90" i="8"/>
  <c r="D91" i="17" l="1"/>
  <c r="G92" i="16"/>
  <c r="D91" i="8"/>
  <c r="G92" i="2"/>
  <c r="G93" i="24"/>
  <c r="D92" i="25"/>
  <c r="D92" i="17" l="1"/>
  <c r="G93" i="16"/>
  <c r="D93" i="25"/>
  <c r="G94" i="24"/>
  <c r="D92" i="8"/>
  <c r="G93" i="2"/>
  <c r="G94" i="16" l="1"/>
  <c r="D93" i="17"/>
  <c r="D93" i="8"/>
  <c r="G94" i="2"/>
  <c r="D94" i="25"/>
  <c r="G95" i="24"/>
  <c r="G95" i="16" l="1"/>
  <c r="D94" i="17"/>
  <c r="D95" i="25"/>
  <c r="G96" i="24"/>
  <c r="D94" i="8"/>
  <c r="G95" i="2"/>
  <c r="D95" i="17" l="1"/>
  <c r="G96" i="16"/>
  <c r="D96" i="25"/>
  <c r="G97" i="24"/>
  <c r="G96" i="2"/>
  <c r="D95" i="8"/>
  <c r="G97" i="16" l="1"/>
  <c r="D96" i="17"/>
  <c r="G97" i="2"/>
  <c r="D96" i="8"/>
  <c r="D97" i="25"/>
  <c r="G98" i="24"/>
  <c r="G98" i="16" l="1"/>
  <c r="D97" i="17"/>
  <c r="D98" i="25"/>
  <c r="G99" i="24"/>
  <c r="D97" i="8"/>
  <c r="G98" i="2"/>
  <c r="G99" i="16" l="1"/>
  <c r="D98" i="17"/>
  <c r="D98" i="8"/>
  <c r="G99" i="2"/>
  <c r="G100" i="24"/>
  <c r="D99" i="25"/>
  <c r="D99" i="17" l="1"/>
  <c r="G100" i="16"/>
  <c r="G101" i="24"/>
  <c r="D100" i="25"/>
  <c r="D99" i="8"/>
  <c r="G100" i="2"/>
  <c r="D100" i="17" l="1"/>
  <c r="G101" i="16"/>
  <c r="D101" i="25"/>
  <c r="G102" i="24"/>
  <c r="D100" i="8"/>
  <c r="G101" i="2"/>
  <c r="G102" i="16" l="1"/>
  <c r="D101" i="17"/>
  <c r="D101" i="8"/>
  <c r="G102" i="2"/>
  <c r="G103" i="24"/>
  <c r="D102" i="25"/>
  <c r="G103" i="16" l="1"/>
  <c r="D102" i="17"/>
  <c r="D103" i="25"/>
  <c r="G104" i="24"/>
  <c r="G103" i="2"/>
  <c r="D102" i="8"/>
  <c r="G104" i="16" l="1"/>
  <c r="D103" i="17"/>
  <c r="D104" i="25"/>
  <c r="G105" i="24"/>
  <c r="G104" i="2"/>
  <c r="D103" i="8"/>
  <c r="D104" i="17" l="1"/>
  <c r="G105" i="16"/>
  <c r="D104" i="8"/>
  <c r="G105" i="2"/>
  <c r="D105" i="25"/>
  <c r="G106" i="24"/>
  <c r="G106" i="16" l="1"/>
  <c r="D105" i="17"/>
  <c r="D106" i="25"/>
  <c r="G107" i="24"/>
  <c r="D105" i="8"/>
  <c r="G106" i="2"/>
  <c r="D106" i="17" l="1"/>
  <c r="G107" i="16"/>
  <c r="D106" i="8"/>
  <c r="G107" i="2"/>
  <c r="D107" i="25"/>
  <c r="G108" i="24"/>
  <c r="G108" i="16" l="1"/>
  <c r="D107" i="17"/>
  <c r="D107" i="8"/>
  <c r="G108" i="2"/>
  <c r="G109" i="24"/>
  <c r="D108" i="25"/>
  <c r="D108" i="17" l="1"/>
  <c r="G109" i="16"/>
  <c r="G110" i="24"/>
  <c r="D109" i="25"/>
  <c r="D108" i="8"/>
  <c r="G109" i="2"/>
  <c r="G110" i="16" l="1"/>
  <c r="D109" i="17"/>
  <c r="D110" i="25"/>
  <c r="G111" i="24"/>
  <c r="D109" i="8"/>
  <c r="G110" i="2"/>
  <c r="D110" i="17" l="1"/>
  <c r="G111" i="16"/>
  <c r="D110" i="8"/>
  <c r="G111" i="2"/>
  <c r="D111" i="25"/>
  <c r="G112" i="24"/>
  <c r="D111" i="17" l="1"/>
  <c r="G112" i="16"/>
  <c r="D112" i="25"/>
  <c r="G113" i="24"/>
  <c r="D111" i="8"/>
  <c r="G112" i="2"/>
  <c r="D112" i="17" l="1"/>
  <c r="G113" i="16"/>
  <c r="D112" i="8"/>
  <c r="G113" i="2"/>
  <c r="G114" i="24"/>
  <c r="D113" i="25"/>
  <c r="G114" i="16" l="1"/>
  <c r="D113" i="17"/>
  <c r="D114" i="25"/>
  <c r="G115" i="24"/>
  <c r="D113" i="8"/>
  <c r="G114" i="2"/>
  <c r="D114" i="17" l="1"/>
  <c r="G115" i="16"/>
  <c r="D114" i="8"/>
  <c r="G115" i="2"/>
  <c r="D115" i="25"/>
  <c r="G116" i="24"/>
  <c r="G116" i="16" l="1"/>
  <c r="D115" i="17"/>
  <c r="D116" i="25"/>
  <c r="G117" i="24"/>
  <c r="D115" i="8"/>
  <c r="G116" i="2"/>
  <c r="D116" i="17" l="1"/>
  <c r="G117" i="16"/>
  <c r="D116" i="8"/>
  <c r="G117" i="2"/>
  <c r="D117" i="25"/>
  <c r="G118" i="24"/>
  <c r="D117" i="17" l="1"/>
  <c r="G118" i="16"/>
  <c r="G119" i="24"/>
  <c r="D118" i="25"/>
  <c r="D117" i="8"/>
  <c r="G118" i="2"/>
  <c r="G119" i="16" l="1"/>
  <c r="D118" i="17"/>
  <c r="G119" i="2"/>
  <c r="D118" i="8"/>
  <c r="D119" i="25"/>
  <c r="G120" i="24"/>
  <c r="G120" i="16" l="1"/>
  <c r="D119" i="17"/>
  <c r="D120" i="25"/>
  <c r="G121" i="24"/>
  <c r="G120" i="2"/>
  <c r="D119" i="8"/>
  <c r="G121" i="16" l="1"/>
  <c r="D120" i="17"/>
  <c r="D121" i="25"/>
  <c r="G122" i="24"/>
  <c r="D120" i="8"/>
  <c r="G121" i="2"/>
  <c r="G122" i="16" l="1"/>
  <c r="D121" i="17"/>
  <c r="D121" i="8"/>
  <c r="G122" i="2"/>
  <c r="D122" i="25"/>
  <c r="G123" i="24"/>
  <c r="D122" i="17" l="1"/>
  <c r="G123" i="16"/>
  <c r="D123" i="25"/>
  <c r="G124" i="24"/>
  <c r="G123" i="2"/>
  <c r="D122" i="8"/>
  <c r="D123" i="17" l="1"/>
  <c r="G124" i="16"/>
  <c r="D123" i="8"/>
  <c r="G124" i="2"/>
  <c r="D124" i="25"/>
  <c r="G125" i="24"/>
  <c r="D124" i="17" l="1"/>
  <c r="G125" i="16"/>
  <c r="D125" i="25"/>
  <c r="G126" i="24"/>
  <c r="D124" i="8"/>
  <c r="G125" i="2"/>
  <c r="D125" i="17" l="1"/>
  <c r="G126" i="16"/>
  <c r="D126" i="25"/>
  <c r="G127" i="24"/>
  <c r="D125" i="8"/>
  <c r="G126" i="2"/>
  <c r="D126" i="17" l="1"/>
  <c r="G127" i="16"/>
  <c r="D127" i="25"/>
  <c r="G128" i="24"/>
  <c r="G127" i="2"/>
  <c r="D126" i="8"/>
  <c r="G128" i="16" l="1"/>
  <c r="D127" i="17"/>
  <c r="D127" i="8"/>
  <c r="G128" i="2"/>
  <c r="D128" i="25"/>
  <c r="G129" i="24"/>
  <c r="D128" i="17" l="1"/>
  <c r="G129" i="16"/>
  <c r="D129" i="25"/>
  <c r="G130" i="24"/>
  <c r="D128" i="8"/>
  <c r="G129" i="2"/>
  <c r="D129" i="17" l="1"/>
  <c r="G130" i="16"/>
  <c r="D129" i="8"/>
  <c r="G130" i="2"/>
  <c r="D130" i="25"/>
  <c r="G131" i="24"/>
  <c r="D130" i="17" l="1"/>
  <c r="G131" i="16"/>
  <c r="D131" i="25"/>
  <c r="G132" i="24"/>
  <c r="D130" i="8"/>
  <c r="G131" i="2"/>
  <c r="G132" i="16" l="1"/>
  <c r="D131" i="17"/>
  <c r="D131" i="8"/>
  <c r="G132" i="2"/>
  <c r="D132" i="25"/>
  <c r="G133" i="24"/>
  <c r="G133" i="16" l="1"/>
  <c r="D132" i="17"/>
  <c r="G134" i="24"/>
  <c r="D133" i="25"/>
  <c r="D132" i="8"/>
  <c r="G133" i="2"/>
  <c r="G134" i="16" l="1"/>
  <c r="D133" i="17"/>
  <c r="G135" i="24"/>
  <c r="D134" i="25"/>
  <c r="D133" i="8"/>
  <c r="G134" i="2"/>
  <c r="G135" i="16" l="1"/>
  <c r="D134" i="17"/>
  <c r="G135" i="2"/>
  <c r="D134" i="8"/>
  <c r="D135" i="25"/>
  <c r="G136" i="24"/>
  <c r="D135" i="17" l="1"/>
  <c r="G136" i="16"/>
  <c r="D136" i="25"/>
  <c r="G137" i="24"/>
  <c r="D135" i="8"/>
  <c r="G136" i="2"/>
  <c r="D136" i="17" l="1"/>
  <c r="G137" i="16"/>
  <c r="D136" i="8"/>
  <c r="G137" i="2"/>
  <c r="D137" i="25"/>
  <c r="G138" i="24"/>
  <c r="D137" i="17" l="1"/>
  <c r="G138" i="16"/>
  <c r="D138" i="25"/>
  <c r="G139" i="24"/>
  <c r="D137" i="8"/>
  <c r="G138" i="2"/>
  <c r="G139" i="16" l="1"/>
  <c r="D138" i="17"/>
  <c r="D138" i="8"/>
  <c r="G139" i="2"/>
  <c r="D139" i="25"/>
  <c r="G140" i="24"/>
  <c r="G140" i="16" l="1"/>
  <c r="D139" i="17"/>
  <c r="D140" i="25"/>
  <c r="G141" i="24"/>
  <c r="D139" i="8"/>
  <c r="G140" i="2"/>
  <c r="D140" i="17" l="1"/>
  <c r="G141" i="16"/>
  <c r="D140" i="8"/>
  <c r="G141" i="2"/>
  <c r="G142" i="24"/>
  <c r="D141" i="25"/>
  <c r="D141" i="17" l="1"/>
  <c r="G142" i="16"/>
  <c r="G143" i="24"/>
  <c r="D142" i="25"/>
  <c r="D141" i="8"/>
  <c r="G142" i="2"/>
  <c r="D142" i="17" l="1"/>
  <c r="G143" i="16"/>
  <c r="D143" i="25"/>
  <c r="G144" i="24"/>
  <c r="D142" i="8"/>
  <c r="G143" i="2"/>
  <c r="D143" i="17" l="1"/>
  <c r="G144" i="16"/>
  <c r="D143" i="8"/>
  <c r="G144" i="2"/>
  <c r="D144" i="25"/>
  <c r="G145" i="24"/>
  <c r="G145" i="16" l="1"/>
  <c r="D144" i="17"/>
  <c r="D145" i="25"/>
  <c r="G146" i="24"/>
  <c r="D144" i="8"/>
  <c r="G145" i="2"/>
  <c r="G146" i="16" l="1"/>
  <c r="D145" i="17"/>
  <c r="D145" i="8"/>
  <c r="G146" i="2"/>
  <c r="D146" i="25"/>
  <c r="G147" i="24"/>
  <c r="D146" i="17" l="1"/>
  <c r="G147" i="16"/>
  <c r="D147" i="25"/>
  <c r="G148" i="24"/>
  <c r="D146" i="8"/>
  <c r="G147" i="2"/>
  <c r="G148" i="16" l="1"/>
  <c r="D147" i="17"/>
  <c r="D147" i="8"/>
  <c r="G148" i="2"/>
  <c r="G149" i="24"/>
  <c r="D148" i="25"/>
  <c r="D148" i="17" l="1"/>
  <c r="G149" i="16"/>
  <c r="D149" i="25"/>
  <c r="G150" i="24"/>
  <c r="D148" i="8"/>
  <c r="G149" i="2"/>
  <c r="G150" i="16" l="1"/>
  <c r="D149" i="17"/>
  <c r="D149" i="8"/>
  <c r="G150" i="2"/>
  <c r="G151" i="24"/>
  <c r="D150" i="25"/>
  <c r="G151" i="16" l="1"/>
  <c r="D150" i="17"/>
  <c r="G151" i="2"/>
  <c r="D150" i="8"/>
  <c r="D151" i="25"/>
  <c r="G152" i="24"/>
  <c r="G152" i="16" l="1"/>
  <c r="D151" i="17"/>
  <c r="D151" i="8"/>
  <c r="G152" i="2"/>
  <c r="D152" i="25"/>
  <c r="G153" i="24"/>
  <c r="D152" i="17" l="1"/>
  <c r="G153" i="16"/>
  <c r="D153" i="25"/>
  <c r="G154" i="24"/>
  <c r="G153" i="2"/>
  <c r="D152" i="8"/>
  <c r="G154" i="16" l="1"/>
  <c r="D153" i="17"/>
  <c r="D154" i="25"/>
  <c r="G155" i="24"/>
  <c r="D153" i="8"/>
  <c r="G154" i="2"/>
  <c r="D154" i="17" l="1"/>
  <c r="G155" i="16"/>
  <c r="D154" i="8"/>
  <c r="G155" i="2"/>
  <c r="D155" i="25"/>
  <c r="G156" i="24"/>
  <c r="D155" i="17" l="1"/>
  <c r="G156" i="16"/>
  <c r="D155" i="8"/>
  <c r="G156" i="2"/>
  <c r="D156" i="25"/>
  <c r="G157" i="24"/>
  <c r="G157" i="16" l="1"/>
  <c r="D156" i="17"/>
  <c r="G158" i="24"/>
  <c r="D157" i="25"/>
  <c r="D156" i="8"/>
  <c r="G157" i="2"/>
  <c r="G158" i="16" l="1"/>
  <c r="D157" i="17"/>
  <c r="D157" i="8"/>
  <c r="G158" i="2"/>
  <c r="G159" i="24"/>
  <c r="D158" i="25"/>
  <c r="G159" i="16" l="1"/>
  <c r="D158" i="17"/>
  <c r="D159" i="25"/>
  <c r="G160" i="24"/>
  <c r="D158" i="8"/>
  <c r="G159" i="2"/>
  <c r="G160" i="16" l="1"/>
  <c r="D159" i="17"/>
  <c r="D159" i="8"/>
  <c r="G160" i="2"/>
  <c r="D160" i="25"/>
  <c r="G161" i="24"/>
  <c r="D160" i="17" l="1"/>
  <c r="G161" i="16"/>
  <c r="D161" i="25"/>
  <c r="G162" i="24"/>
  <c r="D160" i="8"/>
  <c r="G161" i="2"/>
  <c r="G162" i="16" l="1"/>
  <c r="D161" i="17"/>
  <c r="G162" i="2"/>
  <c r="D161" i="8"/>
  <c r="D162" i="25"/>
  <c r="G163" i="24"/>
  <c r="D162" i="17" l="1"/>
  <c r="G163" i="16"/>
  <c r="D163" i="25"/>
  <c r="G164" i="24"/>
  <c r="D162" i="8"/>
  <c r="G163" i="2"/>
  <c r="D163" i="17" l="1"/>
  <c r="G164" i="16"/>
  <c r="G164" i="2"/>
  <c r="D163" i="8"/>
  <c r="D164" i="25"/>
  <c r="G165" i="24"/>
  <c r="G165" i="16" l="1"/>
  <c r="D164" i="17"/>
  <c r="G165" i="2"/>
  <c r="D164" i="8"/>
  <c r="G166" i="24"/>
  <c r="D165" i="25"/>
  <c r="G166" i="16" l="1"/>
  <c r="D165" i="17"/>
  <c r="G167" i="24"/>
  <c r="D166" i="25"/>
  <c r="D165" i="8"/>
  <c r="G166" i="2"/>
  <c r="G167" i="16" l="1"/>
  <c r="D166" i="17"/>
  <c r="D166" i="8"/>
  <c r="G167" i="2"/>
  <c r="D167" i="25"/>
  <c r="G168" i="24"/>
  <c r="G168" i="16" l="1"/>
  <c r="D167" i="17"/>
  <c r="G169" i="24"/>
  <c r="D168" i="25"/>
  <c r="D167" i="8"/>
  <c r="G168" i="2"/>
  <c r="D168" i="17" l="1"/>
  <c r="G169" i="16"/>
  <c r="G169" i="2"/>
  <c r="D168" i="8"/>
  <c r="D169" i="25"/>
  <c r="G170" i="24"/>
  <c r="G171" i="24" l="1"/>
  <c r="D170" i="25"/>
  <c r="D169" i="17"/>
  <c r="G170" i="16"/>
  <c r="D169" i="8"/>
  <c r="G170" i="2"/>
  <c r="G171" i="2" l="1"/>
  <c r="D170" i="8"/>
  <c r="G171" i="16"/>
  <c r="D170" i="17"/>
  <c r="G172" i="24"/>
  <c r="D171" i="25"/>
  <c r="G173" i="24" l="1"/>
  <c r="D172" i="25"/>
  <c r="G172" i="16"/>
  <c r="D171" i="17"/>
  <c r="G172" i="2"/>
  <c r="D171" i="8"/>
  <c r="G173" i="2" l="1"/>
  <c r="D172" i="8"/>
  <c r="G173" i="16"/>
  <c r="D172" i="17"/>
  <c r="G174" i="24"/>
  <c r="D173" i="25"/>
  <c r="G174" i="16" l="1"/>
  <c r="D173" i="17"/>
  <c r="G174" i="2"/>
  <c r="D173" i="8"/>
  <c r="G175" i="24"/>
  <c r="D174" i="25"/>
  <c r="G176" i="24" l="1"/>
  <c r="D175" i="25"/>
  <c r="G175" i="2"/>
  <c r="D174" i="8"/>
  <c r="G175" i="16"/>
  <c r="D174" i="17"/>
  <c r="G176" i="2" l="1"/>
  <c r="D175" i="8"/>
  <c r="G176" i="16"/>
  <c r="D175" i="17"/>
  <c r="G177" i="24"/>
  <c r="D176" i="25"/>
  <c r="G178" i="24" l="1"/>
  <c r="D177" i="25"/>
  <c r="G177" i="16"/>
  <c r="D176" i="17"/>
  <c r="G177" i="2"/>
  <c r="D176" i="8"/>
  <c r="G178" i="16" l="1"/>
  <c r="D177" i="17"/>
  <c r="G178" i="2"/>
  <c r="D177" i="8"/>
  <c r="G179" i="24"/>
  <c r="D178" i="25"/>
  <c r="G180" i="24" l="1"/>
  <c r="D179" i="25"/>
  <c r="G179" i="2"/>
  <c r="D178" i="8"/>
  <c r="G179" i="16"/>
  <c r="D178" i="17"/>
  <c r="G180" i="2" l="1"/>
  <c r="D179" i="8"/>
  <c r="G181" i="24"/>
  <c r="D180" i="25"/>
  <c r="G180" i="16"/>
  <c r="D179" i="17"/>
  <c r="G181" i="16" l="1"/>
  <c r="D180" i="17"/>
  <c r="G182" i="24"/>
  <c r="D181" i="25"/>
  <c r="G181" i="2"/>
  <c r="D180" i="8"/>
  <c r="D182" i="25" l="1"/>
  <c r="G183" i="24"/>
  <c r="G182" i="2"/>
  <c r="D181" i="8"/>
  <c r="G182" i="16"/>
  <c r="D181" i="17"/>
  <c r="G184" i="24" l="1"/>
  <c r="D183" i="25"/>
  <c r="D182" i="17"/>
  <c r="G183" i="16"/>
  <c r="D182" i="8"/>
  <c r="G183" i="2"/>
  <c r="G184" i="16" l="1"/>
  <c r="D183" i="17"/>
  <c r="G184" i="2"/>
  <c r="D183" i="8"/>
  <c r="G185" i="24"/>
  <c r="D185" i="25" s="1"/>
  <c r="D184" i="25"/>
  <c r="E9" i="23" s="1"/>
  <c r="E7" i="23" l="1"/>
  <c r="E8" i="23" s="1"/>
  <c r="G185" i="2"/>
  <c r="D185" i="8" s="1"/>
  <c r="D184" i="8"/>
  <c r="G185" i="16"/>
  <c r="D185" i="17" s="1"/>
  <c r="D184" i="17"/>
  <c r="E7" i="15" s="1"/>
  <c r="E7" i="7" l="1"/>
  <c r="G7" i="23" s="1"/>
  <c r="C7" i="23" s="1"/>
  <c r="E9" i="7"/>
  <c r="E8" i="15"/>
  <c r="E9" i="15"/>
  <c r="K75" i="24" l="1"/>
  <c r="M75" i="24" s="1"/>
  <c r="M75" i="25" s="1"/>
  <c r="Q75" i="25" s="1"/>
  <c r="K183" i="24"/>
  <c r="K184" i="24"/>
  <c r="K185" i="24"/>
  <c r="K117" i="24"/>
  <c r="K163" i="24"/>
  <c r="K123" i="24"/>
  <c r="K21" i="24"/>
  <c r="K104" i="24"/>
  <c r="K45" i="24"/>
  <c r="K111" i="24"/>
  <c r="L111" i="24" s="1"/>
  <c r="K12" i="24"/>
  <c r="K85" i="24"/>
  <c r="K116" i="24"/>
  <c r="K170" i="24"/>
  <c r="K153" i="24"/>
  <c r="K37" i="24"/>
  <c r="K154" i="24"/>
  <c r="K73" i="24"/>
  <c r="K174" i="24"/>
  <c r="K65" i="24"/>
  <c r="K113" i="24"/>
  <c r="K13" i="24"/>
  <c r="K129" i="24"/>
  <c r="K44" i="24"/>
  <c r="K122" i="24"/>
  <c r="K164" i="24"/>
  <c r="K136" i="24"/>
  <c r="K125" i="24"/>
  <c r="K26" i="24"/>
  <c r="K115" i="24"/>
  <c r="K24" i="24"/>
  <c r="K167" i="24"/>
  <c r="K161" i="24"/>
  <c r="K91" i="24"/>
  <c r="K118" i="24"/>
  <c r="C7" i="7"/>
  <c r="K83" i="2" s="1"/>
  <c r="K130" i="24"/>
  <c r="K94" i="24"/>
  <c r="K93" i="24"/>
  <c r="K149" i="24"/>
  <c r="K71" i="24"/>
  <c r="K27" i="24"/>
  <c r="K181" i="24"/>
  <c r="K53" i="24"/>
  <c r="E8" i="7"/>
  <c r="G8" i="23" s="1"/>
  <c r="C8" i="23" s="1"/>
  <c r="K97" i="24"/>
  <c r="K102" i="24"/>
  <c r="K66" i="24"/>
  <c r="K147" i="24"/>
  <c r="K30" i="24"/>
  <c r="K87" i="24"/>
  <c r="K151" i="24"/>
  <c r="K17" i="24"/>
  <c r="K80" i="24"/>
  <c r="K95" i="24"/>
  <c r="K79" i="24"/>
  <c r="K127" i="24"/>
  <c r="K146" i="24"/>
  <c r="K33" i="24"/>
  <c r="K100" i="24"/>
  <c r="K20" i="24"/>
  <c r="K52" i="24"/>
  <c r="K109" i="24"/>
  <c r="K166" i="24"/>
  <c r="K139" i="24"/>
  <c r="K98" i="24"/>
  <c r="K155" i="24"/>
  <c r="K16" i="24"/>
  <c r="K59" i="24"/>
  <c r="K132" i="24"/>
  <c r="K159" i="24"/>
  <c r="K29" i="24"/>
  <c r="K107" i="24"/>
  <c r="K54" i="24"/>
  <c r="K133" i="24"/>
  <c r="K138" i="24"/>
  <c r="K42" i="24"/>
  <c r="K106" i="24"/>
  <c r="K168" i="24"/>
  <c r="K182" i="24"/>
  <c r="K10" i="24"/>
  <c r="K82" i="24"/>
  <c r="K78" i="24"/>
  <c r="K176" i="24"/>
  <c r="K134" i="24"/>
  <c r="K43" i="24"/>
  <c r="K172" i="24"/>
  <c r="K143" i="24"/>
  <c r="K64" i="24"/>
  <c r="K169" i="24"/>
  <c r="K6" i="24"/>
  <c r="K36" i="24"/>
  <c r="K38" i="24"/>
  <c r="K165" i="24"/>
  <c r="K31" i="24"/>
  <c r="K137" i="24"/>
  <c r="K135" i="24"/>
  <c r="K119" i="24"/>
  <c r="K7" i="24"/>
  <c r="K40" i="24"/>
  <c r="K8" i="24"/>
  <c r="K121" i="24"/>
  <c r="K67" i="24"/>
  <c r="K173" i="24"/>
  <c r="K90" i="24"/>
  <c r="K120" i="24"/>
  <c r="K124" i="24"/>
  <c r="K171" i="24"/>
  <c r="K177" i="24"/>
  <c r="K68" i="24"/>
  <c r="K22" i="24"/>
  <c r="K14" i="24"/>
  <c r="K57" i="24"/>
  <c r="K83" i="24"/>
  <c r="K62" i="24"/>
  <c r="K101" i="24"/>
  <c r="K105" i="24"/>
  <c r="K175" i="24"/>
  <c r="K81" i="24"/>
  <c r="K32" i="24"/>
  <c r="K41" i="24"/>
  <c r="K86" i="24"/>
  <c r="K89" i="24"/>
  <c r="K178" i="24"/>
  <c r="K18" i="24"/>
  <c r="K63" i="24"/>
  <c r="K141" i="24"/>
  <c r="K19" i="24"/>
  <c r="K148" i="24"/>
  <c r="K25" i="24"/>
  <c r="K47" i="24"/>
  <c r="K179" i="24"/>
  <c r="K46" i="24"/>
  <c r="K126" i="24"/>
  <c r="K150" i="24"/>
  <c r="K162" i="24"/>
  <c r="K9" i="24"/>
  <c r="K180" i="24"/>
  <c r="K99" i="24"/>
  <c r="K156" i="24"/>
  <c r="K51" i="24"/>
  <c r="K61" i="24"/>
  <c r="K15" i="24"/>
  <c r="K145" i="24"/>
  <c r="K34" i="24"/>
  <c r="K103" i="24"/>
  <c r="K152" i="24"/>
  <c r="K108" i="24"/>
  <c r="K35" i="24"/>
  <c r="K110" i="24"/>
  <c r="K55" i="24"/>
  <c r="K60" i="24"/>
  <c r="K58" i="24"/>
  <c r="K28" i="24"/>
  <c r="K11" i="24"/>
  <c r="K48" i="24"/>
  <c r="K157" i="24"/>
  <c r="K140" i="24"/>
  <c r="K160" i="24"/>
  <c r="K70" i="24"/>
  <c r="K49" i="24"/>
  <c r="K112" i="24"/>
  <c r="K50" i="24"/>
  <c r="K56" i="24"/>
  <c r="K77" i="24"/>
  <c r="K114" i="24"/>
  <c r="K72" i="24"/>
  <c r="K88" i="24"/>
  <c r="K39" i="24"/>
  <c r="K92" i="24"/>
  <c r="K128" i="24"/>
  <c r="K5" i="24"/>
  <c r="K23" i="24"/>
  <c r="K76" i="24"/>
  <c r="K69" i="24"/>
  <c r="K131" i="24"/>
  <c r="K142" i="24"/>
  <c r="K84" i="24"/>
  <c r="K74" i="24"/>
  <c r="K96" i="24"/>
  <c r="G7" i="15"/>
  <c r="C7" i="15" s="1"/>
  <c r="K4" i="24"/>
  <c r="K144" i="24"/>
  <c r="K158" i="24"/>
  <c r="L75" i="25" l="1"/>
  <c r="N75" i="25" s="1"/>
  <c r="L75" i="24"/>
  <c r="K7" i="2"/>
  <c r="G8" i="15"/>
  <c r="C8" i="15" s="1"/>
  <c r="K41" i="2"/>
  <c r="M41" i="2" s="1"/>
  <c r="M41" i="8" s="1"/>
  <c r="Q41" i="8" s="1"/>
  <c r="K136" i="2"/>
  <c r="L136" i="8" s="1"/>
  <c r="N136" i="8" s="1"/>
  <c r="K64" i="2"/>
  <c r="L64" i="8" s="1"/>
  <c r="N64" i="8" s="1"/>
  <c r="K113" i="2"/>
  <c r="M113" i="2" s="1"/>
  <c r="M113" i="8" s="1"/>
  <c r="Q113" i="8" s="1"/>
  <c r="K29" i="2"/>
  <c r="L29" i="8" s="1"/>
  <c r="N29" i="8" s="1"/>
  <c r="K52" i="2"/>
  <c r="K114" i="2"/>
  <c r="K78" i="2"/>
  <c r="L78" i="8" s="1"/>
  <c r="N78" i="8" s="1"/>
  <c r="K63" i="2"/>
  <c r="L63" i="2" s="1"/>
  <c r="K133" i="2"/>
  <c r="L133" i="2" s="1"/>
  <c r="K66" i="2"/>
  <c r="M66" i="2" s="1"/>
  <c r="M66" i="8" s="1"/>
  <c r="Q66" i="8" s="1"/>
  <c r="K65" i="2"/>
  <c r="L65" i="2" s="1"/>
  <c r="K76" i="2"/>
  <c r="M76" i="2" s="1"/>
  <c r="M76" i="8" s="1"/>
  <c r="Q76" i="8" s="1"/>
  <c r="K93" i="2"/>
  <c r="K110" i="2"/>
  <c r="K94" i="2"/>
  <c r="M94" i="2" s="1"/>
  <c r="M94" i="8" s="1"/>
  <c r="Q94" i="8" s="1"/>
  <c r="K19" i="2"/>
  <c r="K59" i="2"/>
  <c r="M59" i="2" s="1"/>
  <c r="M59" i="8" s="1"/>
  <c r="Q59" i="8" s="1"/>
  <c r="K33" i="2"/>
  <c r="M33" i="2" s="1"/>
  <c r="M33" i="8" s="1"/>
  <c r="Q33" i="8" s="1"/>
  <c r="K161" i="2"/>
  <c r="L161" i="8" s="1"/>
  <c r="N161" i="8" s="1"/>
  <c r="K140" i="2"/>
  <c r="M140" i="2" s="1"/>
  <c r="M140" i="8" s="1"/>
  <c r="Q140" i="8" s="1"/>
  <c r="K46" i="2"/>
  <c r="M46" i="2" s="1"/>
  <c r="M46" i="8" s="1"/>
  <c r="K124" i="2"/>
  <c r="K61" i="2"/>
  <c r="L61" i="2" s="1"/>
  <c r="K4" i="2"/>
  <c r="L4" i="2" s="1"/>
  <c r="K28" i="2"/>
  <c r="M28" i="2" s="1"/>
  <c r="M28" i="8" s="1"/>
  <c r="Q28" i="8" s="1"/>
  <c r="K80" i="2"/>
  <c r="M80" i="2" s="1"/>
  <c r="M80" i="8" s="1"/>
  <c r="Q80" i="8" s="1"/>
  <c r="K105" i="2"/>
  <c r="L105" i="8" s="1"/>
  <c r="N105" i="8" s="1"/>
  <c r="K154" i="2"/>
  <c r="M154" i="2" s="1"/>
  <c r="M154" i="8" s="1"/>
  <c r="Q154" i="8" s="1"/>
  <c r="K20" i="2"/>
  <c r="M20" i="2" s="1"/>
  <c r="M20" i="8" s="1"/>
  <c r="Q20" i="8" s="1"/>
  <c r="K162" i="2"/>
  <c r="K68" i="2"/>
  <c r="L68" i="2" s="1"/>
  <c r="K91" i="2"/>
  <c r="M91" i="2" s="1"/>
  <c r="M91" i="8" s="1"/>
  <c r="Q91" i="8" s="1"/>
  <c r="K139" i="2"/>
  <c r="M139" i="2" s="1"/>
  <c r="M139" i="8" s="1"/>
  <c r="Q139" i="8" s="1"/>
  <c r="K145" i="2"/>
  <c r="L145" i="2" s="1"/>
  <c r="K86" i="2"/>
  <c r="M86" i="2" s="1"/>
  <c r="M86" i="8" s="1"/>
  <c r="Q86" i="8" s="1"/>
  <c r="K148" i="2"/>
  <c r="M148" i="2" s="1"/>
  <c r="M148" i="8" s="1"/>
  <c r="Q148" i="8" s="1"/>
  <c r="K10" i="2"/>
  <c r="M10" i="2" s="1"/>
  <c r="M10" i="8" s="1"/>
  <c r="Q10" i="8" s="1"/>
  <c r="K178" i="2"/>
  <c r="K131" i="2"/>
  <c r="L131" i="8" s="1"/>
  <c r="N131" i="8" s="1"/>
  <c r="K165" i="2"/>
  <c r="L165" i="2" s="1"/>
  <c r="K121" i="2"/>
  <c r="M121" i="2" s="1"/>
  <c r="M121" i="8" s="1"/>
  <c r="Q121" i="8" s="1"/>
  <c r="K48" i="2"/>
  <c r="L48" i="8" s="1"/>
  <c r="N48" i="8" s="1"/>
  <c r="K159" i="2"/>
  <c r="L159" i="2" s="1"/>
  <c r="K15" i="2"/>
  <c r="M15" i="2" s="1"/>
  <c r="M15" i="8" s="1"/>
  <c r="Q15" i="8" s="1"/>
  <c r="K130" i="2"/>
  <c r="M130" i="2" s="1"/>
  <c r="M130" i="8" s="1"/>
  <c r="K106" i="2"/>
  <c r="K173" i="2"/>
  <c r="M173" i="2" s="1"/>
  <c r="M173" i="8" s="1"/>
  <c r="Q173" i="8" s="1"/>
  <c r="K42" i="2"/>
  <c r="L42" i="2" s="1"/>
  <c r="K75" i="2"/>
  <c r="L75" i="2" s="1"/>
  <c r="K11" i="2"/>
  <c r="L11" i="8" s="1"/>
  <c r="N11" i="8" s="1"/>
  <c r="K112" i="16"/>
  <c r="L112" i="16" s="1"/>
  <c r="K184" i="16"/>
  <c r="K185" i="16"/>
  <c r="K183" i="16"/>
  <c r="L185" i="25"/>
  <c r="N185" i="25" s="1"/>
  <c r="L185" i="24"/>
  <c r="M185" i="24"/>
  <c r="M185" i="25" s="1"/>
  <c r="Q185" i="25" s="1"/>
  <c r="K115" i="16"/>
  <c r="M115" i="16" s="1"/>
  <c r="M115" i="17" s="1"/>
  <c r="Q115" i="17" s="1"/>
  <c r="L184" i="25"/>
  <c r="N184" i="25" s="1"/>
  <c r="M184" i="24"/>
  <c r="M184" i="25" s="1"/>
  <c r="Q184" i="25" s="1"/>
  <c r="L184" i="24"/>
  <c r="L183" i="25"/>
  <c r="N183" i="25" s="1"/>
  <c r="L183" i="24"/>
  <c r="M183" i="24"/>
  <c r="M183" i="25" s="1"/>
  <c r="Q183" i="25" s="1"/>
  <c r="K132" i="2"/>
  <c r="L132" i="2" s="1"/>
  <c r="K185" i="2"/>
  <c r="K184" i="2"/>
  <c r="K183" i="2"/>
  <c r="K10" i="16"/>
  <c r="M10" i="16" s="1"/>
  <c r="M10" i="17" s="1"/>
  <c r="Q10" i="17" s="1"/>
  <c r="K38" i="16"/>
  <c r="L38" i="16" s="1"/>
  <c r="K129" i="16"/>
  <c r="M129" i="16" s="1"/>
  <c r="M129" i="17" s="1"/>
  <c r="Q129" i="17" s="1"/>
  <c r="K25" i="16"/>
  <c r="L25" i="17" s="1"/>
  <c r="N25" i="17" s="1"/>
  <c r="K161" i="16"/>
  <c r="M161" i="16" s="1"/>
  <c r="M161" i="17" s="1"/>
  <c r="Q161" i="17" s="1"/>
  <c r="K83" i="16"/>
  <c r="M83" i="16" s="1"/>
  <c r="M83" i="17" s="1"/>
  <c r="Q83" i="17" s="1"/>
  <c r="K134" i="16"/>
  <c r="M134" i="16" s="1"/>
  <c r="M134" i="17" s="1"/>
  <c r="Q134" i="17" s="1"/>
  <c r="K173" i="16"/>
  <c r="L173" i="16" s="1"/>
  <c r="K78" i="16"/>
  <c r="M78" i="16" s="1"/>
  <c r="M78" i="17" s="1"/>
  <c r="Q78" i="17" s="1"/>
  <c r="K137" i="16"/>
  <c r="M137" i="16" s="1"/>
  <c r="M137" i="17" s="1"/>
  <c r="K51" i="2"/>
  <c r="M51" i="2" s="1"/>
  <c r="M51" i="8" s="1"/>
  <c r="Q51" i="8" s="1"/>
  <c r="K134" i="2"/>
  <c r="L134" i="2" s="1"/>
  <c r="K104" i="2"/>
  <c r="M104" i="2" s="1"/>
  <c r="M104" i="8" s="1"/>
  <c r="Q104" i="8" s="1"/>
  <c r="K103" i="2"/>
  <c r="M103" i="2" s="1"/>
  <c r="M103" i="8" s="1"/>
  <c r="Q103" i="8" s="1"/>
  <c r="K55" i="2"/>
  <c r="M55" i="2" s="1"/>
  <c r="M55" i="8" s="1"/>
  <c r="Q55" i="8" s="1"/>
  <c r="K98" i="2"/>
  <c r="L98" i="8" s="1"/>
  <c r="N98" i="8" s="1"/>
  <c r="K18" i="2"/>
  <c r="L18" i="2" s="1"/>
  <c r="K72" i="2"/>
  <c r="M72" i="2" s="1"/>
  <c r="M72" i="8" s="1"/>
  <c r="Q72" i="8" s="1"/>
  <c r="K57" i="2"/>
  <c r="M57" i="2" s="1"/>
  <c r="M57" i="8" s="1"/>
  <c r="Q57" i="8" s="1"/>
  <c r="K138" i="2"/>
  <c r="L138" i="2" s="1"/>
  <c r="K36" i="2"/>
  <c r="L36" i="8" s="1"/>
  <c r="N36" i="8" s="1"/>
  <c r="K89" i="2"/>
  <c r="L89" i="2" s="1"/>
  <c r="K92" i="2"/>
  <c r="L92" i="8" s="1"/>
  <c r="N92" i="8" s="1"/>
  <c r="K152" i="2"/>
  <c r="M152" i="2" s="1"/>
  <c r="M152" i="8" s="1"/>
  <c r="Q152" i="8" s="1"/>
  <c r="K112" i="2"/>
  <c r="M112" i="2" s="1"/>
  <c r="M112" i="8" s="1"/>
  <c r="Q112" i="8" s="1"/>
  <c r="K85" i="16"/>
  <c r="M85" i="16" s="1"/>
  <c r="M85" i="17" s="1"/>
  <c r="Q85" i="17" s="1"/>
  <c r="K43" i="16"/>
  <c r="L43" i="17" s="1"/>
  <c r="N43" i="17" s="1"/>
  <c r="K16" i="16"/>
  <c r="L16" i="16" s="1"/>
  <c r="K91" i="16"/>
  <c r="M91" i="16" s="1"/>
  <c r="M91" i="17" s="1"/>
  <c r="Q91" i="17" s="1"/>
  <c r="K42" i="16"/>
  <c r="M42" i="16" s="1"/>
  <c r="M42" i="17" s="1"/>
  <c r="Q42" i="17" s="1"/>
  <c r="K50" i="2"/>
  <c r="L50" i="8" s="1"/>
  <c r="N50" i="8" s="1"/>
  <c r="K17" i="2"/>
  <c r="L17" i="2" s="1"/>
  <c r="K107" i="2"/>
  <c r="L107" i="2" s="1"/>
  <c r="K27" i="2"/>
  <c r="L27" i="8" s="1"/>
  <c r="N27" i="8" s="1"/>
  <c r="K125" i="2"/>
  <c r="L125" i="8" s="1"/>
  <c r="N125" i="8" s="1"/>
  <c r="K120" i="2"/>
  <c r="M120" i="2" s="1"/>
  <c r="M120" i="8" s="1"/>
  <c r="Q120" i="8" s="1"/>
  <c r="K82" i="2"/>
  <c r="L82" i="2" s="1"/>
  <c r="K172" i="2"/>
  <c r="M172" i="2" s="1"/>
  <c r="M172" i="8" s="1"/>
  <c r="Q172" i="8" s="1"/>
  <c r="K9" i="2"/>
  <c r="M9" i="2" s="1"/>
  <c r="M9" i="8" s="1"/>
  <c r="Q9" i="8" s="1"/>
  <c r="K109" i="2"/>
  <c r="M109" i="2" s="1"/>
  <c r="M109" i="8" s="1"/>
  <c r="K56" i="2"/>
  <c r="L56" i="2" s="1"/>
  <c r="K169" i="16"/>
  <c r="M169" i="16" s="1"/>
  <c r="M169" i="17" s="1"/>
  <c r="Q169" i="17" s="1"/>
  <c r="K136" i="16"/>
  <c r="L136" i="16" s="1"/>
  <c r="K119" i="16"/>
  <c r="L119" i="16" s="1"/>
  <c r="K144" i="16"/>
  <c r="M144" i="16" s="1"/>
  <c r="M144" i="17" s="1"/>
  <c r="K70" i="16"/>
  <c r="L70" i="16" s="1"/>
  <c r="K70" i="2"/>
  <c r="L70" i="8" s="1"/>
  <c r="N70" i="8" s="1"/>
  <c r="K137" i="2"/>
  <c r="L137" i="2" s="1"/>
  <c r="K39" i="2"/>
  <c r="L39" i="8" s="1"/>
  <c r="N39" i="8" s="1"/>
  <c r="K169" i="2"/>
  <c r="M169" i="2" s="1"/>
  <c r="M169" i="8" s="1"/>
  <c r="Q169" i="8" s="1"/>
  <c r="K37" i="2"/>
  <c r="L37" i="2" s="1"/>
  <c r="K182" i="2"/>
  <c r="M182" i="2" s="1"/>
  <c r="M182" i="8" s="1"/>
  <c r="Q182" i="8" s="1"/>
  <c r="K16" i="2"/>
  <c r="M16" i="2" s="1"/>
  <c r="M16" i="8" s="1"/>
  <c r="Q16" i="8" s="1"/>
  <c r="K146" i="2"/>
  <c r="M146" i="2" s="1"/>
  <c r="M146" i="8" s="1"/>
  <c r="Q146" i="8" s="1"/>
  <c r="K160" i="2"/>
  <c r="M160" i="2" s="1"/>
  <c r="M160" i="8" s="1"/>
  <c r="Q160" i="8" s="1"/>
  <c r="K181" i="2"/>
  <c r="M181" i="2" s="1"/>
  <c r="M181" i="8" s="1"/>
  <c r="Q181" i="8" s="1"/>
  <c r="K84" i="2"/>
  <c r="M84" i="2" s="1"/>
  <c r="M84" i="8" s="1"/>
  <c r="Q84" i="8" s="1"/>
  <c r="K6" i="2"/>
  <c r="M6" i="2" s="1"/>
  <c r="M6" i="8" s="1"/>
  <c r="Q6" i="8" s="1"/>
  <c r="K122" i="2"/>
  <c r="L122" i="8" s="1"/>
  <c r="N122" i="8" s="1"/>
  <c r="K100" i="2"/>
  <c r="L100" i="8" s="1"/>
  <c r="N100" i="8" s="1"/>
  <c r="K81" i="2"/>
  <c r="M81" i="2" s="1"/>
  <c r="M81" i="8" s="1"/>
  <c r="K167" i="2"/>
  <c r="L167" i="2" s="1"/>
  <c r="K25" i="2"/>
  <c r="L25" i="2" s="1"/>
  <c r="K153" i="2"/>
  <c r="L153" i="2" s="1"/>
  <c r="K127" i="2"/>
  <c r="L127" i="2" s="1"/>
  <c r="K30" i="2"/>
  <c r="L30" i="8" s="1"/>
  <c r="N30" i="8" s="1"/>
  <c r="K108" i="2"/>
  <c r="L108" i="2" s="1"/>
  <c r="K168" i="2"/>
  <c r="M168" i="2" s="1"/>
  <c r="M168" i="8" s="1"/>
  <c r="Q168" i="8" s="1"/>
  <c r="K58" i="2"/>
  <c r="L58" i="2" s="1"/>
  <c r="K44" i="2"/>
  <c r="L44" i="8" s="1"/>
  <c r="N44" i="8" s="1"/>
  <c r="K69" i="2"/>
  <c r="L69" i="8" s="1"/>
  <c r="N69" i="8" s="1"/>
  <c r="K135" i="2"/>
  <c r="M135" i="2" s="1"/>
  <c r="M135" i="8" s="1"/>
  <c r="Q135" i="8" s="1"/>
  <c r="K170" i="16"/>
  <c r="L170" i="16" s="1"/>
  <c r="K120" i="16"/>
  <c r="L120" i="16" s="1"/>
  <c r="K135" i="16"/>
  <c r="L135" i="16" s="1"/>
  <c r="K163" i="16"/>
  <c r="L163" i="16" s="1"/>
  <c r="K150" i="16"/>
  <c r="M150" i="16" s="1"/>
  <c r="M150" i="17" s="1"/>
  <c r="Q150" i="17" s="1"/>
  <c r="K21" i="16"/>
  <c r="L21" i="16" s="1"/>
  <c r="K93" i="16"/>
  <c r="L93" i="17" s="1"/>
  <c r="N93" i="17" s="1"/>
  <c r="K64" i="16"/>
  <c r="M64" i="16" s="1"/>
  <c r="M64" i="17" s="1"/>
  <c r="Q64" i="17" s="1"/>
  <c r="K8" i="16"/>
  <c r="M8" i="16" s="1"/>
  <c r="M8" i="17" s="1"/>
  <c r="Q8" i="17" s="1"/>
  <c r="K60" i="16"/>
  <c r="M60" i="16" s="1"/>
  <c r="M60" i="17" s="1"/>
  <c r="K179" i="2"/>
  <c r="L179" i="2" s="1"/>
  <c r="K149" i="2"/>
  <c r="L149" i="2" s="1"/>
  <c r="K147" i="2"/>
  <c r="M147" i="2" s="1"/>
  <c r="M147" i="8" s="1"/>
  <c r="Q147" i="8" s="1"/>
  <c r="K40" i="2"/>
  <c r="M40" i="2" s="1"/>
  <c r="M40" i="8" s="1"/>
  <c r="Q40" i="8" s="1"/>
  <c r="K85" i="2"/>
  <c r="L85" i="8" s="1"/>
  <c r="N85" i="8" s="1"/>
  <c r="K115" i="2"/>
  <c r="M115" i="2" s="1"/>
  <c r="M115" i="8" s="1"/>
  <c r="Q115" i="8" s="1"/>
  <c r="K97" i="2"/>
  <c r="M97" i="2" s="1"/>
  <c r="M97" i="8" s="1"/>
  <c r="Q97" i="8" s="1"/>
  <c r="K13" i="2"/>
  <c r="L13" i="8" s="1"/>
  <c r="N13" i="8" s="1"/>
  <c r="K26" i="2"/>
  <c r="M26" i="2" s="1"/>
  <c r="M26" i="8" s="1"/>
  <c r="Q26" i="8" s="1"/>
  <c r="K143" i="2"/>
  <c r="L143" i="2" s="1"/>
  <c r="K73" i="2"/>
  <c r="M73" i="2" s="1"/>
  <c r="M73" i="8" s="1"/>
  <c r="Q73" i="8" s="1"/>
  <c r="K174" i="2"/>
  <c r="L174" i="2" s="1"/>
  <c r="K142" i="2"/>
  <c r="L142" i="2" s="1"/>
  <c r="K144" i="2"/>
  <c r="L144" i="2" s="1"/>
  <c r="K43" i="2"/>
  <c r="M43" i="2" s="1"/>
  <c r="M43" i="8" s="1"/>
  <c r="Q43" i="8" s="1"/>
  <c r="K125" i="16"/>
  <c r="M125" i="16" s="1"/>
  <c r="M125" i="17" s="1"/>
  <c r="Q125" i="17" s="1"/>
  <c r="K68" i="16"/>
  <c r="L68" i="16" s="1"/>
  <c r="K50" i="16"/>
  <c r="M50" i="16" s="1"/>
  <c r="M50" i="17" s="1"/>
  <c r="Q50" i="17" s="1"/>
  <c r="K108" i="16"/>
  <c r="M108" i="16" s="1"/>
  <c r="M108" i="17" s="1"/>
  <c r="Q108" i="17" s="1"/>
  <c r="K14" i="16"/>
  <c r="M14" i="16" s="1"/>
  <c r="M14" i="17" s="1"/>
  <c r="Q14" i="17" s="1"/>
  <c r="K37" i="16"/>
  <c r="M37" i="16" s="1"/>
  <c r="M37" i="17" s="1"/>
  <c r="Q37" i="17" s="1"/>
  <c r="K74" i="16"/>
  <c r="L74" i="17" s="1"/>
  <c r="N74" i="17" s="1"/>
  <c r="K140" i="16"/>
  <c r="L140" i="16" s="1"/>
  <c r="K156" i="16"/>
  <c r="L156" i="16" s="1"/>
  <c r="K7" i="16"/>
  <c r="M7" i="16" s="1"/>
  <c r="M7" i="17" s="1"/>
  <c r="Q7" i="17" s="1"/>
  <c r="K170" i="2"/>
  <c r="L170" i="2" s="1"/>
  <c r="K171" i="2"/>
  <c r="L171" i="2" s="1"/>
  <c r="K163" i="2"/>
  <c r="L163" i="2" s="1"/>
  <c r="K111" i="2"/>
  <c r="M111" i="2" s="1"/>
  <c r="M111" i="8" s="1"/>
  <c r="Q111" i="8" s="1"/>
  <c r="K12" i="2"/>
  <c r="M12" i="2" s="1"/>
  <c r="M12" i="8" s="1"/>
  <c r="Q12" i="8" s="1"/>
  <c r="K23" i="2"/>
  <c r="L23" i="2" s="1"/>
  <c r="K60" i="2"/>
  <c r="M60" i="2" s="1"/>
  <c r="M60" i="8" s="1"/>
  <c r="K129" i="2"/>
  <c r="M129" i="2" s="1"/>
  <c r="M129" i="8" s="1"/>
  <c r="Q129" i="8" s="1"/>
  <c r="K175" i="2"/>
  <c r="M175" i="2" s="1"/>
  <c r="M175" i="8" s="1"/>
  <c r="Q175" i="8" s="1"/>
  <c r="K158" i="2"/>
  <c r="L158" i="2" s="1"/>
  <c r="K45" i="2"/>
  <c r="L45" i="2" s="1"/>
  <c r="K22" i="2"/>
  <c r="M22" i="2" s="1"/>
  <c r="M22" i="8" s="1"/>
  <c r="Q22" i="8" s="1"/>
  <c r="K74" i="2"/>
  <c r="L74" i="2" s="1"/>
  <c r="K21" i="2"/>
  <c r="L21" i="8" s="1"/>
  <c r="N21" i="8" s="1"/>
  <c r="K67" i="2"/>
  <c r="M67" i="2" s="1"/>
  <c r="M67" i="8" s="1"/>
  <c r="K131" i="16"/>
  <c r="L131" i="16" s="1"/>
  <c r="K19" i="16"/>
  <c r="L19" i="16" s="1"/>
  <c r="K172" i="16"/>
  <c r="M172" i="16" s="1"/>
  <c r="M172" i="17" s="1"/>
  <c r="K123" i="16"/>
  <c r="L123" i="16" s="1"/>
  <c r="K106" i="16"/>
  <c r="M106" i="16" s="1"/>
  <c r="M106" i="17" s="1"/>
  <c r="Q106" i="17" s="1"/>
  <c r="K17" i="16"/>
  <c r="L17" i="16" s="1"/>
  <c r="K56" i="16"/>
  <c r="L56" i="16" s="1"/>
  <c r="K53" i="16"/>
  <c r="L53" i="16" s="1"/>
  <c r="K114" i="16"/>
  <c r="L114" i="16" s="1"/>
  <c r="K160" i="16"/>
  <c r="M160" i="16" s="1"/>
  <c r="M160" i="17" s="1"/>
  <c r="Q160" i="17" s="1"/>
  <c r="K92" i="16"/>
  <c r="M92" i="16" s="1"/>
  <c r="M92" i="17" s="1"/>
  <c r="Q92" i="17" s="1"/>
  <c r="K104" i="16"/>
  <c r="L104" i="17" s="1"/>
  <c r="N104" i="17" s="1"/>
  <c r="K6" i="16"/>
  <c r="M6" i="16" s="1"/>
  <c r="M6" i="17" s="1"/>
  <c r="Q6" i="17" s="1"/>
  <c r="K179" i="16"/>
  <c r="M179" i="16" s="1"/>
  <c r="M179" i="17" s="1"/>
  <c r="K52" i="16"/>
  <c r="M52" i="16" s="1"/>
  <c r="M52" i="17" s="1"/>
  <c r="Q52" i="17" s="1"/>
  <c r="K154" i="16"/>
  <c r="L154" i="17" s="1"/>
  <c r="N154" i="17" s="1"/>
  <c r="K9" i="16"/>
  <c r="L9" i="16" s="1"/>
  <c r="K141" i="16"/>
  <c r="L141" i="16" s="1"/>
  <c r="K177" i="16"/>
  <c r="L177" i="16" s="1"/>
  <c r="K105" i="16"/>
  <c r="L105" i="17" s="1"/>
  <c r="N105" i="17" s="1"/>
  <c r="K39" i="16"/>
  <c r="L39" i="16" s="1"/>
  <c r="K44" i="16"/>
  <c r="L44" i="16" s="1"/>
  <c r="K63" i="16"/>
  <c r="M63" i="16" s="1"/>
  <c r="M63" i="17" s="1"/>
  <c r="Q63" i="17" s="1"/>
  <c r="K82" i="16"/>
  <c r="M82" i="16" s="1"/>
  <c r="M82" i="17" s="1"/>
  <c r="Q82" i="17" s="1"/>
  <c r="K96" i="16"/>
  <c r="M96" i="16" s="1"/>
  <c r="M96" i="17" s="1"/>
  <c r="Q96" i="17" s="1"/>
  <c r="K27" i="16"/>
  <c r="L27" i="17" s="1"/>
  <c r="N27" i="17" s="1"/>
  <c r="K55" i="16"/>
  <c r="M55" i="16" s="1"/>
  <c r="M55" i="17" s="1"/>
  <c r="Q55" i="17" s="1"/>
  <c r="K77" i="16"/>
  <c r="M77" i="16" s="1"/>
  <c r="M77" i="17" s="1"/>
  <c r="Q77" i="17" s="1"/>
  <c r="K95" i="16"/>
  <c r="M95" i="16" s="1"/>
  <c r="M95" i="17" s="1"/>
  <c r="K166" i="16"/>
  <c r="M166" i="16" s="1"/>
  <c r="M166" i="17" s="1"/>
  <c r="Q166" i="17" s="1"/>
  <c r="K20" i="16"/>
  <c r="L20" i="16" s="1"/>
  <c r="K165" i="16"/>
  <c r="M165" i="16" s="1"/>
  <c r="M165" i="17" s="1"/>
  <c r="K149" i="16"/>
  <c r="M149" i="16" s="1"/>
  <c r="M149" i="17" s="1"/>
  <c r="Q149" i="17" s="1"/>
  <c r="K128" i="16"/>
  <c r="M128" i="16" s="1"/>
  <c r="M128" i="17" s="1"/>
  <c r="Q128" i="17" s="1"/>
  <c r="K54" i="16"/>
  <c r="M54" i="16" s="1"/>
  <c r="M54" i="17" s="1"/>
  <c r="Q54" i="17" s="1"/>
  <c r="K15" i="16"/>
  <c r="M15" i="16" s="1"/>
  <c r="M15" i="17" s="1"/>
  <c r="Q15" i="17" s="1"/>
  <c r="K147" i="16"/>
  <c r="L147" i="17" s="1"/>
  <c r="N147" i="17" s="1"/>
  <c r="K86" i="16"/>
  <c r="L86" i="16" s="1"/>
  <c r="K113" i="16"/>
  <c r="M113" i="16" s="1"/>
  <c r="M113" i="17" s="1"/>
  <c r="Q113" i="17" s="1"/>
  <c r="K159" i="16"/>
  <c r="L159" i="16" s="1"/>
  <c r="K157" i="16"/>
  <c r="L157" i="16" s="1"/>
  <c r="K31" i="16"/>
  <c r="L31" i="17" s="1"/>
  <c r="N31" i="17" s="1"/>
  <c r="K97" i="16"/>
  <c r="M97" i="16" s="1"/>
  <c r="M97" i="17" s="1"/>
  <c r="Q97" i="17" s="1"/>
  <c r="K174" i="16"/>
  <c r="L174" i="17" s="1"/>
  <c r="N174" i="17" s="1"/>
  <c r="K118" i="16"/>
  <c r="L118" i="17" s="1"/>
  <c r="N118" i="17" s="1"/>
  <c r="K41" i="16"/>
  <c r="L41" i="17" s="1"/>
  <c r="N41" i="17" s="1"/>
  <c r="K181" i="16"/>
  <c r="M181" i="16" s="1"/>
  <c r="M181" i="17" s="1"/>
  <c r="Q181" i="17" s="1"/>
  <c r="K152" i="16"/>
  <c r="L152" i="16" s="1"/>
  <c r="K99" i="16"/>
  <c r="M99" i="16" s="1"/>
  <c r="M99" i="17" s="1"/>
  <c r="Q99" i="17" s="1"/>
  <c r="K111" i="16"/>
  <c r="L111" i="16" s="1"/>
  <c r="K139" i="16"/>
  <c r="M139" i="16" s="1"/>
  <c r="M139" i="17" s="1"/>
  <c r="Q139" i="17" s="1"/>
  <c r="K167" i="16"/>
  <c r="L167" i="17" s="1"/>
  <c r="N167" i="17" s="1"/>
  <c r="K28" i="16"/>
  <c r="M28" i="16" s="1"/>
  <c r="M28" i="17" s="1"/>
  <c r="Q28" i="17" s="1"/>
  <c r="K65" i="16"/>
  <c r="L65" i="16" s="1"/>
  <c r="K23" i="16"/>
  <c r="L23" i="17" s="1"/>
  <c r="N23" i="17" s="1"/>
  <c r="K88" i="16"/>
  <c r="L88" i="17" s="1"/>
  <c r="N88" i="17" s="1"/>
  <c r="K11" i="16"/>
  <c r="L11" i="16" s="1"/>
  <c r="K117" i="16"/>
  <c r="M117" i="16" s="1"/>
  <c r="M117" i="17" s="1"/>
  <c r="Q117" i="17" s="1"/>
  <c r="K145" i="16"/>
  <c r="M145" i="16" s="1"/>
  <c r="M145" i="17" s="1"/>
  <c r="Q145" i="17" s="1"/>
  <c r="K142" i="16"/>
  <c r="L142" i="16" s="1"/>
  <c r="K122" i="16"/>
  <c r="L122" i="16" s="1"/>
  <c r="K164" i="16"/>
  <c r="L164" i="16" s="1"/>
  <c r="K133" i="16"/>
  <c r="L133" i="16" s="1"/>
  <c r="K116" i="16"/>
  <c r="L116" i="17" s="1"/>
  <c r="N116" i="17" s="1"/>
  <c r="K127" i="16"/>
  <c r="L127" i="17" s="1"/>
  <c r="N127" i="17" s="1"/>
  <c r="K40" i="16"/>
  <c r="L40" i="17" s="1"/>
  <c r="N40" i="17" s="1"/>
  <c r="K80" i="16"/>
  <c r="M80" i="16" s="1"/>
  <c r="M80" i="17" s="1"/>
  <c r="Q80" i="17" s="1"/>
  <c r="K71" i="16"/>
  <c r="L71" i="17" s="1"/>
  <c r="N71" i="17" s="1"/>
  <c r="K121" i="16"/>
  <c r="M121" i="16" s="1"/>
  <c r="M121" i="17" s="1"/>
  <c r="Q121" i="17" s="1"/>
  <c r="K138" i="16"/>
  <c r="M138" i="16" s="1"/>
  <c r="M138" i="17" s="1"/>
  <c r="Q138" i="17" s="1"/>
  <c r="K4" i="16"/>
  <c r="L4" i="16" s="1"/>
  <c r="K124" i="16"/>
  <c r="L124" i="16" s="1"/>
  <c r="K73" i="16"/>
  <c r="M73" i="16" s="1"/>
  <c r="M73" i="17" s="1"/>
  <c r="Q73" i="17" s="1"/>
  <c r="K84" i="16"/>
  <c r="L84" i="16" s="1"/>
  <c r="K143" i="16"/>
  <c r="M143" i="16" s="1"/>
  <c r="M143" i="17" s="1"/>
  <c r="Q143" i="17" s="1"/>
  <c r="K13" i="16"/>
  <c r="L13" i="16" s="1"/>
  <c r="K90" i="16"/>
  <c r="L90" i="16" s="1"/>
  <c r="K158" i="16"/>
  <c r="M158" i="16" s="1"/>
  <c r="M158" i="17" s="1"/>
  <c r="K98" i="16"/>
  <c r="M98" i="16" s="1"/>
  <c r="M98" i="17" s="1"/>
  <c r="Q98" i="17" s="1"/>
  <c r="K46" i="16"/>
  <c r="L46" i="17" s="1"/>
  <c r="N46" i="17" s="1"/>
  <c r="K34" i="16"/>
  <c r="M34" i="16" s="1"/>
  <c r="M34" i="17" s="1"/>
  <c r="Q34" i="17" s="1"/>
  <c r="K72" i="16"/>
  <c r="L72" i="17" s="1"/>
  <c r="N72" i="17" s="1"/>
  <c r="K12" i="16"/>
  <c r="M12" i="16" s="1"/>
  <c r="M12" i="17" s="1"/>
  <c r="Q12" i="17" s="1"/>
  <c r="K162" i="16"/>
  <c r="L162" i="17" s="1"/>
  <c r="N162" i="17" s="1"/>
  <c r="K48" i="16"/>
  <c r="L48" i="16" s="1"/>
  <c r="K110" i="16"/>
  <c r="L110" i="17" s="1"/>
  <c r="N110" i="17" s="1"/>
  <c r="K69" i="16"/>
  <c r="M69" i="16" s="1"/>
  <c r="M69" i="17" s="1"/>
  <c r="Q69" i="17" s="1"/>
  <c r="K126" i="16"/>
  <c r="L126" i="17" s="1"/>
  <c r="N126" i="17" s="1"/>
  <c r="K66" i="16"/>
  <c r="M66" i="16" s="1"/>
  <c r="M66" i="17" s="1"/>
  <c r="Q66" i="17" s="1"/>
  <c r="K35" i="16"/>
  <c r="M35" i="16" s="1"/>
  <c r="M35" i="17" s="1"/>
  <c r="Q35" i="17" s="1"/>
  <c r="K87" i="16"/>
  <c r="L87" i="16" s="1"/>
  <c r="K67" i="16"/>
  <c r="M67" i="16" s="1"/>
  <c r="M67" i="17" s="1"/>
  <c r="K107" i="16"/>
  <c r="M107" i="16" s="1"/>
  <c r="M107" i="17" s="1"/>
  <c r="Q107" i="17" s="1"/>
  <c r="K18" i="16"/>
  <c r="L18" i="17" s="1"/>
  <c r="N18" i="17" s="1"/>
  <c r="K146" i="16"/>
  <c r="L146" i="16" s="1"/>
  <c r="K182" i="16"/>
  <c r="L182" i="16" s="1"/>
  <c r="K178" i="16"/>
  <c r="L178" i="16" s="1"/>
  <c r="K22" i="16"/>
  <c r="L22" i="17" s="1"/>
  <c r="N22" i="17" s="1"/>
  <c r="K75" i="16"/>
  <c r="M75" i="16" s="1"/>
  <c r="M75" i="17" s="1"/>
  <c r="Q75" i="17" s="1"/>
  <c r="K180" i="16"/>
  <c r="L180" i="16" s="1"/>
  <c r="K61" i="16"/>
  <c r="L61" i="17" s="1"/>
  <c r="N61" i="17" s="1"/>
  <c r="K58" i="16"/>
  <c r="M58" i="16" s="1"/>
  <c r="M58" i="17" s="1"/>
  <c r="Q58" i="17" s="1"/>
  <c r="K47" i="16"/>
  <c r="L47" i="16" s="1"/>
  <c r="K130" i="16"/>
  <c r="L130" i="17" s="1"/>
  <c r="N130" i="17" s="1"/>
  <c r="K36" i="16"/>
  <c r="L36" i="17" s="1"/>
  <c r="N36" i="17" s="1"/>
  <c r="K57" i="16"/>
  <c r="L57" i="16" s="1"/>
  <c r="K26" i="16"/>
  <c r="M26" i="16" s="1"/>
  <c r="M26" i="17" s="1"/>
  <c r="Q26" i="17" s="1"/>
  <c r="K94" i="16"/>
  <c r="L94" i="17" s="1"/>
  <c r="N94" i="17" s="1"/>
  <c r="K168" i="16"/>
  <c r="L168" i="16" s="1"/>
  <c r="K29" i="16"/>
  <c r="L29" i="16" s="1"/>
  <c r="K171" i="16"/>
  <c r="L171" i="16" s="1"/>
  <c r="K176" i="16"/>
  <c r="L176" i="17" s="1"/>
  <c r="N176" i="17" s="1"/>
  <c r="K155" i="16"/>
  <c r="L155" i="17" s="1"/>
  <c r="N155" i="17" s="1"/>
  <c r="K49" i="16"/>
  <c r="M49" i="16" s="1"/>
  <c r="M49" i="17" s="1"/>
  <c r="Q49" i="17" s="1"/>
  <c r="K24" i="16"/>
  <c r="L24" i="16" s="1"/>
  <c r="K132" i="16"/>
  <c r="M132" i="16" s="1"/>
  <c r="M132" i="17" s="1"/>
  <c r="Q132" i="17" s="1"/>
  <c r="K76" i="16"/>
  <c r="L76" i="16" s="1"/>
  <c r="K51" i="16"/>
  <c r="L51" i="17" s="1"/>
  <c r="N51" i="17" s="1"/>
  <c r="K148" i="16"/>
  <c r="M148" i="16" s="1"/>
  <c r="M148" i="17" s="1"/>
  <c r="Q148" i="17" s="1"/>
  <c r="K102" i="16"/>
  <c r="L102" i="17" s="1"/>
  <c r="N102" i="17" s="1"/>
  <c r="K100" i="16"/>
  <c r="L100" i="16" s="1"/>
  <c r="C8" i="7"/>
  <c r="K59" i="16"/>
  <c r="M59" i="16" s="1"/>
  <c r="M59" i="17" s="1"/>
  <c r="Q59" i="17" s="1"/>
  <c r="K109" i="16"/>
  <c r="M109" i="16" s="1"/>
  <c r="M109" i="17" s="1"/>
  <c r="K32" i="16"/>
  <c r="M32" i="16" s="1"/>
  <c r="M32" i="17" s="1"/>
  <c r="K81" i="16"/>
  <c r="L81" i="16" s="1"/>
  <c r="K175" i="16"/>
  <c r="L175" i="16" s="1"/>
  <c r="K79" i="16"/>
  <c r="L79" i="16" s="1"/>
  <c r="K101" i="16"/>
  <c r="L101" i="16" s="1"/>
  <c r="K30" i="16"/>
  <c r="M30" i="16" s="1"/>
  <c r="M30" i="17" s="1"/>
  <c r="Q30" i="17" s="1"/>
  <c r="K89" i="16"/>
  <c r="L89" i="16" s="1"/>
  <c r="K96" i="2"/>
  <c r="L96" i="8" s="1"/>
  <c r="N96" i="8" s="1"/>
  <c r="K118" i="2"/>
  <c r="M118" i="2" s="1"/>
  <c r="M118" i="8" s="1"/>
  <c r="Q118" i="8" s="1"/>
  <c r="K90" i="2"/>
  <c r="L90" i="2" s="1"/>
  <c r="K62" i="2"/>
  <c r="M62" i="2" s="1"/>
  <c r="M62" i="8" s="1"/>
  <c r="Q62" i="8" s="1"/>
  <c r="K24" i="2"/>
  <c r="M24" i="2" s="1"/>
  <c r="M24" i="8" s="1"/>
  <c r="Q24" i="8" s="1"/>
  <c r="K176" i="2"/>
  <c r="M176" i="2" s="1"/>
  <c r="M176" i="8" s="1"/>
  <c r="Q176" i="8" s="1"/>
  <c r="K49" i="2"/>
  <c r="L49" i="2" s="1"/>
  <c r="K117" i="2"/>
  <c r="L117" i="2" s="1"/>
  <c r="K151" i="2"/>
  <c r="L151" i="2" s="1"/>
  <c r="K5" i="2"/>
  <c r="L5" i="2" s="1"/>
  <c r="K101" i="2"/>
  <c r="M101" i="2" s="1"/>
  <c r="M101" i="8" s="1"/>
  <c r="Q101" i="8" s="1"/>
  <c r="K14" i="2"/>
  <c r="L14" i="8" s="1"/>
  <c r="N14" i="8" s="1"/>
  <c r="K128" i="2"/>
  <c r="M128" i="2" s="1"/>
  <c r="M128" i="8" s="1"/>
  <c r="Q128" i="8" s="1"/>
  <c r="K119" i="2"/>
  <c r="M119" i="2" s="1"/>
  <c r="M119" i="8" s="1"/>
  <c r="Q119" i="8" s="1"/>
  <c r="K177" i="2"/>
  <c r="M177" i="2" s="1"/>
  <c r="M177" i="8" s="1"/>
  <c r="Q177" i="8" s="1"/>
  <c r="K79" i="2"/>
  <c r="L79" i="2" s="1"/>
  <c r="K150" i="2"/>
  <c r="L150" i="8" s="1"/>
  <c r="N150" i="8" s="1"/>
  <c r="K77" i="2"/>
  <c r="L77" i="2" s="1"/>
  <c r="K180" i="2"/>
  <c r="M180" i="2" s="1"/>
  <c r="M180" i="8" s="1"/>
  <c r="Q180" i="8" s="1"/>
  <c r="K87" i="2"/>
  <c r="L87" i="2" s="1"/>
  <c r="K31" i="2"/>
  <c r="L31" i="8" s="1"/>
  <c r="N31" i="8" s="1"/>
  <c r="K155" i="2"/>
  <c r="L155" i="8" s="1"/>
  <c r="N155" i="8" s="1"/>
  <c r="K33" i="16"/>
  <c r="M33" i="16" s="1"/>
  <c r="M33" i="17" s="1"/>
  <c r="Q33" i="17" s="1"/>
  <c r="K153" i="16"/>
  <c r="M153" i="16" s="1"/>
  <c r="M153" i="17" s="1"/>
  <c r="Q153" i="17" s="1"/>
  <c r="K62" i="16"/>
  <c r="M62" i="16" s="1"/>
  <c r="M62" i="17" s="1"/>
  <c r="Q62" i="17" s="1"/>
  <c r="K151" i="16"/>
  <c r="L151" i="17" s="1"/>
  <c r="N151" i="17" s="1"/>
  <c r="K103" i="16"/>
  <c r="L103" i="16" s="1"/>
  <c r="K5" i="16"/>
  <c r="M5" i="16" s="1"/>
  <c r="M5" i="17" s="1"/>
  <c r="Q5" i="17" s="1"/>
  <c r="K45" i="16"/>
  <c r="L45" i="17" s="1"/>
  <c r="N45" i="17" s="1"/>
  <c r="K38" i="2"/>
  <c r="L38" i="2" s="1"/>
  <c r="K126" i="2"/>
  <c r="L126" i="2" s="1"/>
  <c r="K54" i="2"/>
  <c r="M54" i="2" s="1"/>
  <c r="M54" i="8" s="1"/>
  <c r="Q54" i="8" s="1"/>
  <c r="K157" i="2"/>
  <c r="L157" i="2" s="1"/>
  <c r="K164" i="2"/>
  <c r="L164" i="2" s="1"/>
  <c r="K8" i="2"/>
  <c r="L8" i="2" s="1"/>
  <c r="K47" i="2"/>
  <c r="L47" i="8" s="1"/>
  <c r="N47" i="8" s="1"/>
  <c r="K166" i="2"/>
  <c r="L166" i="2" s="1"/>
  <c r="K71" i="2"/>
  <c r="L71" i="8" s="1"/>
  <c r="N71" i="8" s="1"/>
  <c r="K99" i="2"/>
  <c r="M99" i="2" s="1"/>
  <c r="M99" i="8" s="1"/>
  <c r="Q99" i="8" s="1"/>
  <c r="K116" i="2"/>
  <c r="L116" i="2" s="1"/>
  <c r="K53" i="2"/>
  <c r="M53" i="2" s="1"/>
  <c r="M53" i="8" s="1"/>
  <c r="K141" i="2"/>
  <c r="L141" i="8" s="1"/>
  <c r="N141" i="8" s="1"/>
  <c r="K102" i="2"/>
  <c r="L102" i="2" s="1"/>
  <c r="K35" i="2"/>
  <c r="M35" i="2" s="1"/>
  <c r="M35" i="8" s="1"/>
  <c r="Q35" i="8" s="1"/>
  <c r="K156" i="2"/>
  <c r="L156" i="8" s="1"/>
  <c r="N156" i="8" s="1"/>
  <c r="K32" i="2"/>
  <c r="L32" i="8" s="1"/>
  <c r="N32" i="8" s="1"/>
  <c r="K95" i="2"/>
  <c r="L95" i="2" s="1"/>
  <c r="K34" i="2"/>
  <c r="M34" i="2" s="1"/>
  <c r="M34" i="8" s="1"/>
  <c r="Q34" i="8" s="1"/>
  <c r="K88" i="2"/>
  <c r="M88" i="2" s="1"/>
  <c r="M88" i="8" s="1"/>
  <c r="K123" i="2"/>
  <c r="L123" i="2" s="1"/>
  <c r="L12" i="24"/>
  <c r="L12" i="25"/>
  <c r="N12" i="25" s="1"/>
  <c r="M12" i="24"/>
  <c r="M12" i="25" s="1"/>
  <c r="Q12" i="25" s="1"/>
  <c r="L111" i="25"/>
  <c r="N111" i="25" s="1"/>
  <c r="M111" i="24"/>
  <c r="M111" i="25" s="1"/>
  <c r="Q111" i="25" s="1"/>
  <c r="L45" i="25"/>
  <c r="N45" i="25" s="1"/>
  <c r="L45" i="24"/>
  <c r="M104" i="24"/>
  <c r="M104" i="25" s="1"/>
  <c r="Q104" i="25" s="1"/>
  <c r="L104" i="24"/>
  <c r="L104" i="25"/>
  <c r="N104" i="25" s="1"/>
  <c r="L21" i="24"/>
  <c r="L21" i="25"/>
  <c r="N21" i="25" s="1"/>
  <c r="M21" i="24"/>
  <c r="M21" i="25" s="1"/>
  <c r="Q21" i="25" s="1"/>
  <c r="L123" i="25"/>
  <c r="N123" i="25" s="1"/>
  <c r="M123" i="24"/>
  <c r="M123" i="25" s="1"/>
  <c r="L123" i="24"/>
  <c r="L163" i="25"/>
  <c r="N163" i="25" s="1"/>
  <c r="L163" i="24"/>
  <c r="M163" i="24"/>
  <c r="M163" i="25" s="1"/>
  <c r="Q163" i="25" s="1"/>
  <c r="M45" i="24"/>
  <c r="M45" i="25" s="1"/>
  <c r="Q45" i="25" s="1"/>
  <c r="M117" i="24"/>
  <c r="M117" i="25" s="1"/>
  <c r="Q117" i="25" s="1"/>
  <c r="L117" i="25"/>
  <c r="N117" i="25" s="1"/>
  <c r="L117" i="24"/>
  <c r="L139" i="25"/>
  <c r="N139" i="25" s="1"/>
  <c r="M139" i="24"/>
  <c r="M139" i="25" s="1"/>
  <c r="Q139" i="25" s="1"/>
  <c r="L139" i="24"/>
  <c r="L127" i="25"/>
  <c r="N127" i="25" s="1"/>
  <c r="L127" i="24"/>
  <c r="M127" i="24"/>
  <c r="M127" i="25" s="1"/>
  <c r="Q127" i="25" s="1"/>
  <c r="L147" i="24"/>
  <c r="M147" i="24"/>
  <c r="M147" i="25" s="1"/>
  <c r="Q147" i="25" s="1"/>
  <c r="L147" i="25"/>
  <c r="N147" i="25" s="1"/>
  <c r="L71" i="24"/>
  <c r="M71" i="24"/>
  <c r="M71" i="25" s="1"/>
  <c r="Q71" i="25" s="1"/>
  <c r="L71" i="25"/>
  <c r="N71" i="25" s="1"/>
  <c r="L91" i="24"/>
  <c r="L91" i="25"/>
  <c r="N91" i="25" s="1"/>
  <c r="M91" i="24"/>
  <c r="M91" i="25" s="1"/>
  <c r="Q91" i="25" s="1"/>
  <c r="L136" i="24"/>
  <c r="M136" i="24"/>
  <c r="M136" i="25" s="1"/>
  <c r="Q136" i="25" s="1"/>
  <c r="L136" i="25"/>
  <c r="N136" i="25" s="1"/>
  <c r="L174" i="25"/>
  <c r="N174" i="25" s="1"/>
  <c r="L174" i="24"/>
  <c r="M174" i="24"/>
  <c r="M174" i="25" s="1"/>
  <c r="Q174" i="25" s="1"/>
  <c r="L166" i="25"/>
  <c r="N166" i="25" s="1"/>
  <c r="M166" i="24"/>
  <c r="M166" i="25" s="1"/>
  <c r="Q166" i="25" s="1"/>
  <c r="L166" i="24"/>
  <c r="L79" i="25"/>
  <c r="N79" i="25" s="1"/>
  <c r="M79" i="24"/>
  <c r="M79" i="25" s="1"/>
  <c r="Q79" i="25" s="1"/>
  <c r="L79" i="24"/>
  <c r="L66" i="24"/>
  <c r="M66" i="24"/>
  <c r="M66" i="25" s="1"/>
  <c r="Q66" i="25" s="1"/>
  <c r="L66" i="25"/>
  <c r="N66" i="25" s="1"/>
  <c r="M149" i="24"/>
  <c r="M149" i="25" s="1"/>
  <c r="Q149" i="25" s="1"/>
  <c r="L149" i="24"/>
  <c r="L149" i="25"/>
  <c r="N149" i="25" s="1"/>
  <c r="L161" i="25"/>
  <c r="N161" i="25" s="1"/>
  <c r="L161" i="24"/>
  <c r="M161" i="24"/>
  <c r="M161" i="25" s="1"/>
  <c r="Q161" i="25" s="1"/>
  <c r="L164" i="25"/>
  <c r="N164" i="25" s="1"/>
  <c r="M164" i="24"/>
  <c r="M164" i="25" s="1"/>
  <c r="Q164" i="25" s="1"/>
  <c r="L164" i="24"/>
  <c r="L73" i="25"/>
  <c r="N73" i="25" s="1"/>
  <c r="M73" i="24"/>
  <c r="M73" i="25" s="1"/>
  <c r="Q73" i="25" s="1"/>
  <c r="L73" i="24"/>
  <c r="L109" i="24"/>
  <c r="M109" i="24"/>
  <c r="M109" i="25" s="1"/>
  <c r="L109" i="25"/>
  <c r="N109" i="25" s="1"/>
  <c r="M95" i="24"/>
  <c r="M95" i="25" s="1"/>
  <c r="L95" i="25"/>
  <c r="N95" i="25" s="1"/>
  <c r="L95" i="24"/>
  <c r="L102" i="24"/>
  <c r="M102" i="24"/>
  <c r="M102" i="25" s="1"/>
  <c r="L102" i="25"/>
  <c r="N102" i="25" s="1"/>
  <c r="L93" i="24"/>
  <c r="M93" i="24"/>
  <c r="M93" i="25" s="1"/>
  <c r="Q93" i="25" s="1"/>
  <c r="L93" i="25"/>
  <c r="N93" i="25" s="1"/>
  <c r="L167" i="25"/>
  <c r="N167" i="25" s="1"/>
  <c r="L167" i="24"/>
  <c r="M167" i="24"/>
  <c r="M167" i="25" s="1"/>
  <c r="Q167" i="25" s="1"/>
  <c r="M122" i="24"/>
  <c r="M122" i="25" s="1"/>
  <c r="Q122" i="25" s="1"/>
  <c r="L122" i="25"/>
  <c r="N122" i="25" s="1"/>
  <c r="L122" i="24"/>
  <c r="L154" i="25"/>
  <c r="N154" i="25" s="1"/>
  <c r="M154" i="24"/>
  <c r="M154" i="25" s="1"/>
  <c r="Q154" i="25" s="1"/>
  <c r="L154" i="24"/>
  <c r="L52" i="24"/>
  <c r="M52" i="24"/>
  <c r="M52" i="25" s="1"/>
  <c r="Q52" i="25" s="1"/>
  <c r="L52" i="25"/>
  <c r="N52" i="25" s="1"/>
  <c r="M80" i="24"/>
  <c r="M80" i="25" s="1"/>
  <c r="Q80" i="25" s="1"/>
  <c r="L80" i="25"/>
  <c r="N80" i="25" s="1"/>
  <c r="L80" i="24"/>
  <c r="M97" i="24"/>
  <c r="M97" i="25" s="1"/>
  <c r="Q97" i="25" s="1"/>
  <c r="L97" i="24"/>
  <c r="L97" i="25"/>
  <c r="N97" i="25" s="1"/>
  <c r="M94" i="24"/>
  <c r="M94" i="25" s="1"/>
  <c r="Q94" i="25" s="1"/>
  <c r="L94" i="24"/>
  <c r="L94" i="25"/>
  <c r="N94" i="25" s="1"/>
  <c r="L24" i="25"/>
  <c r="N24" i="25" s="1"/>
  <c r="L24" i="24"/>
  <c r="M24" i="24"/>
  <c r="M24" i="25" s="1"/>
  <c r="Q24" i="25" s="1"/>
  <c r="M44" i="24"/>
  <c r="M44" i="25" s="1"/>
  <c r="Q44" i="25" s="1"/>
  <c r="L44" i="24"/>
  <c r="L44" i="25"/>
  <c r="N44" i="25" s="1"/>
  <c r="L37" i="25"/>
  <c r="N37" i="25" s="1"/>
  <c r="L37" i="24"/>
  <c r="M37" i="24"/>
  <c r="M37" i="25" s="1"/>
  <c r="Q37" i="25" s="1"/>
  <c r="L20" i="25"/>
  <c r="N20" i="25" s="1"/>
  <c r="M20" i="24"/>
  <c r="M20" i="25" s="1"/>
  <c r="Q20" i="25" s="1"/>
  <c r="L20" i="24"/>
  <c r="M17" i="24"/>
  <c r="M17" i="25" s="1"/>
  <c r="Q17" i="25" s="1"/>
  <c r="L17" i="24"/>
  <c r="L17" i="25"/>
  <c r="N17" i="25" s="1"/>
  <c r="M130" i="24"/>
  <c r="M130" i="25" s="1"/>
  <c r="L130" i="25"/>
  <c r="N130" i="25" s="1"/>
  <c r="L130" i="24"/>
  <c r="L115" i="24"/>
  <c r="L115" i="25"/>
  <c r="N115" i="25" s="1"/>
  <c r="M115" i="24"/>
  <c r="M115" i="25" s="1"/>
  <c r="Q115" i="25" s="1"/>
  <c r="M129" i="24"/>
  <c r="M129" i="25" s="1"/>
  <c r="Q129" i="25" s="1"/>
  <c r="L129" i="25"/>
  <c r="N129" i="25" s="1"/>
  <c r="L129" i="24"/>
  <c r="M153" i="24"/>
  <c r="M153" i="25" s="1"/>
  <c r="Q153" i="25" s="1"/>
  <c r="L153" i="24"/>
  <c r="L153" i="25"/>
  <c r="N153" i="25" s="1"/>
  <c r="M16" i="24"/>
  <c r="M16" i="25" s="1"/>
  <c r="Q16" i="25" s="1"/>
  <c r="L16" i="24"/>
  <c r="L16" i="25"/>
  <c r="N16" i="25" s="1"/>
  <c r="L100" i="24"/>
  <c r="M100" i="24"/>
  <c r="M100" i="25" s="1"/>
  <c r="Q100" i="25" s="1"/>
  <c r="L100" i="25"/>
  <c r="N100" i="25" s="1"/>
  <c r="L151" i="24"/>
  <c r="L151" i="25"/>
  <c r="N151" i="25" s="1"/>
  <c r="M151" i="24"/>
  <c r="M151" i="25" s="1"/>
  <c r="M53" i="24"/>
  <c r="M53" i="25" s="1"/>
  <c r="L53" i="24"/>
  <c r="L53" i="25"/>
  <c r="N53" i="25" s="1"/>
  <c r="L26" i="24"/>
  <c r="M26" i="24"/>
  <c r="M26" i="25" s="1"/>
  <c r="Q26" i="25" s="1"/>
  <c r="L26" i="25"/>
  <c r="N26" i="25" s="1"/>
  <c r="M13" i="24"/>
  <c r="M13" i="25" s="1"/>
  <c r="Q13" i="25" s="1"/>
  <c r="L13" i="24"/>
  <c r="L13" i="25"/>
  <c r="N13" i="25" s="1"/>
  <c r="L170" i="25"/>
  <c r="N170" i="25" s="1"/>
  <c r="L170" i="24"/>
  <c r="M170" i="24"/>
  <c r="M170" i="25" s="1"/>
  <c r="Q170" i="25" s="1"/>
  <c r="L155" i="25"/>
  <c r="N155" i="25" s="1"/>
  <c r="M155" i="24"/>
  <c r="M155" i="25" s="1"/>
  <c r="Q155" i="25" s="1"/>
  <c r="L155" i="24"/>
  <c r="M33" i="24"/>
  <c r="M33" i="25" s="1"/>
  <c r="Q33" i="25" s="1"/>
  <c r="L33" i="25"/>
  <c r="N33" i="25" s="1"/>
  <c r="L33" i="24"/>
  <c r="M87" i="24"/>
  <c r="M87" i="25" s="1"/>
  <c r="Q87" i="25" s="1"/>
  <c r="L87" i="25"/>
  <c r="N87" i="25" s="1"/>
  <c r="L87" i="24"/>
  <c r="M181" i="24"/>
  <c r="M181" i="25" s="1"/>
  <c r="Q181" i="25" s="1"/>
  <c r="L181" i="25"/>
  <c r="N181" i="25" s="1"/>
  <c r="L181" i="24"/>
  <c r="L125" i="25"/>
  <c r="N125" i="25" s="1"/>
  <c r="M125" i="24"/>
  <c r="M125" i="25" s="1"/>
  <c r="Q125" i="25" s="1"/>
  <c r="L125" i="24"/>
  <c r="L113" i="25"/>
  <c r="N113" i="25" s="1"/>
  <c r="L113" i="24"/>
  <c r="M113" i="24"/>
  <c r="M113" i="25" s="1"/>
  <c r="Q113" i="25" s="1"/>
  <c r="M116" i="24"/>
  <c r="M116" i="25" s="1"/>
  <c r="L116" i="24"/>
  <c r="L116" i="25"/>
  <c r="N116" i="25" s="1"/>
  <c r="L98" i="25"/>
  <c r="N98" i="25" s="1"/>
  <c r="L98" i="24"/>
  <c r="M98" i="24"/>
  <c r="M98" i="25" s="1"/>
  <c r="Q98" i="25" s="1"/>
  <c r="M146" i="24"/>
  <c r="M146" i="25" s="1"/>
  <c r="Q146" i="25" s="1"/>
  <c r="L146" i="24"/>
  <c r="L146" i="25"/>
  <c r="N146" i="25" s="1"/>
  <c r="M30" i="24"/>
  <c r="M30" i="25" s="1"/>
  <c r="Q30" i="25" s="1"/>
  <c r="L30" i="24"/>
  <c r="L30" i="25"/>
  <c r="N30" i="25" s="1"/>
  <c r="M27" i="24"/>
  <c r="M27" i="25" s="1"/>
  <c r="Q27" i="25" s="1"/>
  <c r="L27" i="25"/>
  <c r="N27" i="25" s="1"/>
  <c r="L27" i="24"/>
  <c r="L118" i="25"/>
  <c r="N118" i="25" s="1"/>
  <c r="L118" i="24"/>
  <c r="M118" i="24"/>
  <c r="M118" i="25" s="1"/>
  <c r="Q118" i="25" s="1"/>
  <c r="L65" i="25"/>
  <c r="N65" i="25" s="1"/>
  <c r="M65" i="24"/>
  <c r="M65" i="25" s="1"/>
  <c r="Q65" i="25" s="1"/>
  <c r="L65" i="24"/>
  <c r="M85" i="24"/>
  <c r="M85" i="25" s="1"/>
  <c r="Q85" i="25" s="1"/>
  <c r="L85" i="25"/>
  <c r="N85" i="25" s="1"/>
  <c r="L85" i="24"/>
  <c r="L142" i="25"/>
  <c r="N142" i="25" s="1"/>
  <c r="M142" i="24"/>
  <c r="M142" i="25" s="1"/>
  <c r="Q142" i="25" s="1"/>
  <c r="L142" i="24"/>
  <c r="M39" i="24"/>
  <c r="M39" i="25" s="1"/>
  <c r="L39" i="25"/>
  <c r="N39" i="25" s="1"/>
  <c r="L39" i="24"/>
  <c r="M49" i="24"/>
  <c r="M49" i="25" s="1"/>
  <c r="Q49" i="25" s="1"/>
  <c r="L49" i="25"/>
  <c r="N49" i="25" s="1"/>
  <c r="L49" i="24"/>
  <c r="M58" i="24"/>
  <c r="M58" i="25" s="1"/>
  <c r="Q58" i="25" s="1"/>
  <c r="L58" i="25"/>
  <c r="N58" i="25" s="1"/>
  <c r="L58" i="24"/>
  <c r="L34" i="24"/>
  <c r="L34" i="25"/>
  <c r="N34" i="25" s="1"/>
  <c r="M34" i="24"/>
  <c r="M34" i="25" s="1"/>
  <c r="Q34" i="25" s="1"/>
  <c r="L9" i="25"/>
  <c r="N9" i="25" s="1"/>
  <c r="M9" i="24"/>
  <c r="M9" i="25" s="1"/>
  <c r="Q9" i="25" s="1"/>
  <c r="L9" i="24"/>
  <c r="L148" i="25"/>
  <c r="N148" i="25" s="1"/>
  <c r="M148" i="24"/>
  <c r="M148" i="25" s="1"/>
  <c r="Q148" i="25" s="1"/>
  <c r="L148" i="24"/>
  <c r="L41" i="24"/>
  <c r="L41" i="25"/>
  <c r="N41" i="25" s="1"/>
  <c r="M41" i="24"/>
  <c r="M41" i="25" s="1"/>
  <c r="Q41" i="25" s="1"/>
  <c r="M57" i="24"/>
  <c r="M57" i="25" s="1"/>
  <c r="Q57" i="25" s="1"/>
  <c r="L57" i="24"/>
  <c r="L57" i="25"/>
  <c r="N57" i="25" s="1"/>
  <c r="M90" i="24"/>
  <c r="M90" i="25" s="1"/>
  <c r="Q90" i="25" s="1"/>
  <c r="L90" i="25"/>
  <c r="N90" i="25" s="1"/>
  <c r="L90" i="24"/>
  <c r="L135" i="25"/>
  <c r="N135" i="25" s="1"/>
  <c r="M135" i="24"/>
  <c r="M135" i="25" s="1"/>
  <c r="Q135" i="25" s="1"/>
  <c r="L135" i="24"/>
  <c r="L64" i="24"/>
  <c r="M64" i="24"/>
  <c r="M64" i="25" s="1"/>
  <c r="Q64" i="25" s="1"/>
  <c r="L64" i="25"/>
  <c r="N64" i="25" s="1"/>
  <c r="M10" i="24"/>
  <c r="M10" i="25" s="1"/>
  <c r="Q10" i="25" s="1"/>
  <c r="L10" i="25"/>
  <c r="N10" i="25" s="1"/>
  <c r="L10" i="24"/>
  <c r="L107" i="24"/>
  <c r="L107" i="25"/>
  <c r="N107" i="25" s="1"/>
  <c r="M107" i="24"/>
  <c r="M107" i="25" s="1"/>
  <c r="Q107" i="25" s="1"/>
  <c r="M158" i="24"/>
  <c r="M158" i="25" s="1"/>
  <c r="L158" i="24"/>
  <c r="L158" i="25"/>
  <c r="N158" i="25" s="1"/>
  <c r="L131" i="25"/>
  <c r="N131" i="25" s="1"/>
  <c r="L131" i="24"/>
  <c r="M131" i="24"/>
  <c r="M131" i="25" s="1"/>
  <c r="Q131" i="25" s="1"/>
  <c r="M88" i="24"/>
  <c r="M88" i="25" s="1"/>
  <c r="L88" i="24"/>
  <c r="L88" i="25"/>
  <c r="N88" i="25" s="1"/>
  <c r="M70" i="24"/>
  <c r="M70" i="25" s="1"/>
  <c r="Q70" i="25" s="1"/>
  <c r="L70" i="24"/>
  <c r="L70" i="25"/>
  <c r="N70" i="25" s="1"/>
  <c r="M60" i="24"/>
  <c r="M60" i="25" s="1"/>
  <c r="L60" i="25"/>
  <c r="N60" i="25" s="1"/>
  <c r="L60" i="24"/>
  <c r="M145" i="24"/>
  <c r="M145" i="25" s="1"/>
  <c r="Q145" i="25" s="1"/>
  <c r="L145" i="25"/>
  <c r="N145" i="25" s="1"/>
  <c r="L145" i="24"/>
  <c r="L162" i="25"/>
  <c r="N162" i="25" s="1"/>
  <c r="L162" i="24"/>
  <c r="M162" i="24"/>
  <c r="M162" i="25" s="1"/>
  <c r="Q162" i="25" s="1"/>
  <c r="L19" i="24"/>
  <c r="L19" i="25"/>
  <c r="N19" i="25" s="1"/>
  <c r="M19" i="24"/>
  <c r="M19" i="25" s="1"/>
  <c r="Q19" i="25" s="1"/>
  <c r="L32" i="24"/>
  <c r="L32" i="25"/>
  <c r="N32" i="25" s="1"/>
  <c r="M32" i="24"/>
  <c r="M32" i="25" s="1"/>
  <c r="L14" i="24"/>
  <c r="M14" i="24"/>
  <c r="M14" i="25" s="1"/>
  <c r="Q14" i="25" s="1"/>
  <c r="L14" i="25"/>
  <c r="N14" i="25" s="1"/>
  <c r="L173" i="25"/>
  <c r="N173" i="25" s="1"/>
  <c r="M173" i="24"/>
  <c r="M173" i="25" s="1"/>
  <c r="Q173" i="25" s="1"/>
  <c r="L173" i="24"/>
  <c r="M137" i="24"/>
  <c r="M137" i="25" s="1"/>
  <c r="L137" i="25"/>
  <c r="N137" i="25" s="1"/>
  <c r="L137" i="24"/>
  <c r="M143" i="24"/>
  <c r="M143" i="25" s="1"/>
  <c r="Q143" i="25" s="1"/>
  <c r="L143" i="25"/>
  <c r="N143" i="25" s="1"/>
  <c r="L143" i="24"/>
  <c r="M182" i="24"/>
  <c r="M182" i="25" s="1"/>
  <c r="Q182" i="25" s="1"/>
  <c r="L182" i="25"/>
  <c r="N182" i="25" s="1"/>
  <c r="L182" i="24"/>
  <c r="M29" i="24"/>
  <c r="M29" i="25" s="1"/>
  <c r="Q29" i="25" s="1"/>
  <c r="L29" i="25"/>
  <c r="N29" i="25" s="1"/>
  <c r="L29" i="24"/>
  <c r="L144" i="24"/>
  <c r="M144" i="24"/>
  <c r="M144" i="25" s="1"/>
  <c r="L144" i="25"/>
  <c r="N144" i="25" s="1"/>
  <c r="L69" i="25"/>
  <c r="N69" i="25" s="1"/>
  <c r="L69" i="24"/>
  <c r="M69" i="24"/>
  <c r="M69" i="25" s="1"/>
  <c r="Q69" i="25" s="1"/>
  <c r="L72" i="25"/>
  <c r="N72" i="25" s="1"/>
  <c r="L72" i="24"/>
  <c r="M72" i="24"/>
  <c r="M72" i="25" s="1"/>
  <c r="Q72" i="25" s="1"/>
  <c r="M160" i="24"/>
  <c r="M160" i="25" s="1"/>
  <c r="Q160" i="25" s="1"/>
  <c r="L160" i="24"/>
  <c r="L160" i="25"/>
  <c r="N160" i="25" s="1"/>
  <c r="M55" i="24"/>
  <c r="M55" i="25" s="1"/>
  <c r="Q55" i="25" s="1"/>
  <c r="L55" i="24"/>
  <c r="L55" i="25"/>
  <c r="N55" i="25" s="1"/>
  <c r="M15" i="24"/>
  <c r="M15" i="25" s="1"/>
  <c r="Q15" i="25" s="1"/>
  <c r="L15" i="25"/>
  <c r="N15" i="25" s="1"/>
  <c r="L15" i="24"/>
  <c r="L150" i="24"/>
  <c r="L150" i="25"/>
  <c r="N150" i="25" s="1"/>
  <c r="M150" i="24"/>
  <c r="M150" i="25" s="1"/>
  <c r="Q150" i="25" s="1"/>
  <c r="L141" i="24"/>
  <c r="M141" i="24"/>
  <c r="M141" i="25" s="1"/>
  <c r="Q141" i="25" s="1"/>
  <c r="L141" i="25"/>
  <c r="N141" i="25" s="1"/>
  <c r="L81" i="25"/>
  <c r="N81" i="25" s="1"/>
  <c r="M81" i="24"/>
  <c r="M81" i="25" s="1"/>
  <c r="L81" i="24"/>
  <c r="M22" i="24"/>
  <c r="M22" i="25" s="1"/>
  <c r="Q22" i="25" s="1"/>
  <c r="L22" i="25"/>
  <c r="N22" i="25" s="1"/>
  <c r="L22" i="24"/>
  <c r="M67" i="24"/>
  <c r="M67" i="25" s="1"/>
  <c r="L67" i="25"/>
  <c r="N67" i="25" s="1"/>
  <c r="L67" i="24"/>
  <c r="M31" i="24"/>
  <c r="M31" i="25" s="1"/>
  <c r="Q31" i="25" s="1"/>
  <c r="L31" i="25"/>
  <c r="N31" i="25" s="1"/>
  <c r="L31" i="24"/>
  <c r="L172" i="24"/>
  <c r="L172" i="25"/>
  <c r="N172" i="25" s="1"/>
  <c r="M172" i="24"/>
  <c r="M172" i="25" s="1"/>
  <c r="L168" i="25"/>
  <c r="N168" i="25" s="1"/>
  <c r="M168" i="24"/>
  <c r="M168" i="25" s="1"/>
  <c r="Q168" i="25" s="1"/>
  <c r="L168" i="24"/>
  <c r="M159" i="24"/>
  <c r="M159" i="25" s="1"/>
  <c r="Q159" i="25" s="1"/>
  <c r="L159" i="24"/>
  <c r="L159" i="25"/>
  <c r="N159" i="25" s="1"/>
  <c r="L4" i="25"/>
  <c r="N4" i="25" s="1"/>
  <c r="L4" i="24"/>
  <c r="M4" i="24"/>
  <c r="L76" i="25"/>
  <c r="N76" i="25" s="1"/>
  <c r="M76" i="24"/>
  <c r="M76" i="25" s="1"/>
  <c r="Q76" i="25" s="1"/>
  <c r="L76" i="24"/>
  <c r="M114" i="24"/>
  <c r="M114" i="25" s="1"/>
  <c r="Q114" i="25" s="1"/>
  <c r="L114" i="25"/>
  <c r="N114" i="25" s="1"/>
  <c r="L114" i="24"/>
  <c r="L140" i="24"/>
  <c r="L140" i="25"/>
  <c r="N140" i="25" s="1"/>
  <c r="M140" i="24"/>
  <c r="M140" i="25" s="1"/>
  <c r="Q140" i="25" s="1"/>
  <c r="M110" i="24"/>
  <c r="M110" i="25" s="1"/>
  <c r="Q110" i="25" s="1"/>
  <c r="L110" i="25"/>
  <c r="N110" i="25" s="1"/>
  <c r="L110" i="24"/>
  <c r="L61" i="24"/>
  <c r="M61" i="24"/>
  <c r="M61" i="25" s="1"/>
  <c r="Q61" i="25" s="1"/>
  <c r="L61" i="25"/>
  <c r="N61" i="25" s="1"/>
  <c r="L126" i="24"/>
  <c r="M126" i="24"/>
  <c r="M126" i="25" s="1"/>
  <c r="Q126" i="25" s="1"/>
  <c r="L126" i="25"/>
  <c r="N126" i="25" s="1"/>
  <c r="L63" i="25"/>
  <c r="N63" i="25" s="1"/>
  <c r="L63" i="24"/>
  <c r="M63" i="24"/>
  <c r="M63" i="25" s="1"/>
  <c r="Q63" i="25" s="1"/>
  <c r="L175" i="24"/>
  <c r="L175" i="25"/>
  <c r="N175" i="25" s="1"/>
  <c r="M175" i="24"/>
  <c r="M175" i="25" s="1"/>
  <c r="Q175" i="25" s="1"/>
  <c r="M68" i="24"/>
  <c r="M68" i="25" s="1"/>
  <c r="Q68" i="25" s="1"/>
  <c r="L68" i="24"/>
  <c r="L68" i="25"/>
  <c r="N68" i="25" s="1"/>
  <c r="M121" i="24"/>
  <c r="M121" i="25" s="1"/>
  <c r="Q121" i="25" s="1"/>
  <c r="L121" i="25"/>
  <c r="N121" i="25" s="1"/>
  <c r="L121" i="24"/>
  <c r="M165" i="24"/>
  <c r="M165" i="25" s="1"/>
  <c r="L165" i="24"/>
  <c r="L165" i="25"/>
  <c r="N165" i="25" s="1"/>
  <c r="L43" i="25"/>
  <c r="N43" i="25" s="1"/>
  <c r="M43" i="24"/>
  <c r="M43" i="25" s="1"/>
  <c r="Q43" i="25" s="1"/>
  <c r="L43" i="24"/>
  <c r="L106" i="24"/>
  <c r="L106" i="25"/>
  <c r="N106" i="25" s="1"/>
  <c r="M106" i="24"/>
  <c r="M106" i="25" s="1"/>
  <c r="Q106" i="25" s="1"/>
  <c r="L132" i="24"/>
  <c r="M132" i="24"/>
  <c r="M132" i="25" s="1"/>
  <c r="Q132" i="25" s="1"/>
  <c r="L132" i="25"/>
  <c r="N132" i="25" s="1"/>
  <c r="M23" i="24"/>
  <c r="M23" i="25" s="1"/>
  <c r="Q23" i="25" s="1"/>
  <c r="L23" i="25"/>
  <c r="N23" i="25" s="1"/>
  <c r="L23" i="24"/>
  <c r="L77" i="25"/>
  <c r="N77" i="25" s="1"/>
  <c r="M77" i="24"/>
  <c r="M77" i="25" s="1"/>
  <c r="Q77" i="25" s="1"/>
  <c r="L77" i="24"/>
  <c r="L157" i="25"/>
  <c r="N157" i="25" s="1"/>
  <c r="L157" i="24"/>
  <c r="M157" i="24"/>
  <c r="M157" i="25" s="1"/>
  <c r="Q157" i="25" s="1"/>
  <c r="M35" i="24"/>
  <c r="M35" i="25" s="1"/>
  <c r="Q35" i="25" s="1"/>
  <c r="L35" i="24"/>
  <c r="L35" i="25"/>
  <c r="N35" i="25" s="1"/>
  <c r="L51" i="24"/>
  <c r="L51" i="25"/>
  <c r="N51" i="25" s="1"/>
  <c r="M51" i="24"/>
  <c r="M51" i="25" s="1"/>
  <c r="Q51" i="25" s="1"/>
  <c r="L46" i="25"/>
  <c r="N46" i="25" s="1"/>
  <c r="M46" i="24"/>
  <c r="M46" i="25" s="1"/>
  <c r="L46" i="24"/>
  <c r="M18" i="24"/>
  <c r="M18" i="25" s="1"/>
  <c r="L18" i="25"/>
  <c r="N18" i="25" s="1"/>
  <c r="L18" i="24"/>
  <c r="L105" i="24"/>
  <c r="L105" i="25"/>
  <c r="N105" i="25" s="1"/>
  <c r="M105" i="24"/>
  <c r="M105" i="25" s="1"/>
  <c r="Q105" i="25" s="1"/>
  <c r="L177" i="25"/>
  <c r="N177" i="25" s="1"/>
  <c r="M177" i="24"/>
  <c r="M177" i="25" s="1"/>
  <c r="Q177" i="25" s="1"/>
  <c r="L177" i="24"/>
  <c r="L8" i="25"/>
  <c r="N8" i="25" s="1"/>
  <c r="L8" i="24"/>
  <c r="M8" i="24"/>
  <c r="M8" i="25" s="1"/>
  <c r="Q8" i="25" s="1"/>
  <c r="L38" i="25"/>
  <c r="N38" i="25" s="1"/>
  <c r="M38" i="24"/>
  <c r="M38" i="25" s="1"/>
  <c r="Q38" i="25" s="1"/>
  <c r="L38" i="24"/>
  <c r="L134" i="25"/>
  <c r="N134" i="25" s="1"/>
  <c r="L134" i="24"/>
  <c r="M134" i="24"/>
  <c r="M134" i="25" s="1"/>
  <c r="Q134" i="25" s="1"/>
  <c r="M42" i="24"/>
  <c r="M42" i="25" s="1"/>
  <c r="Q42" i="25" s="1"/>
  <c r="L42" i="25"/>
  <c r="N42" i="25" s="1"/>
  <c r="L42" i="24"/>
  <c r="M59" i="24"/>
  <c r="M59" i="25" s="1"/>
  <c r="Q59" i="25" s="1"/>
  <c r="L59" i="24"/>
  <c r="L59" i="25"/>
  <c r="N59" i="25" s="1"/>
  <c r="M96" i="24"/>
  <c r="M96" i="25" s="1"/>
  <c r="Q96" i="25" s="1"/>
  <c r="L96" i="25"/>
  <c r="N96" i="25" s="1"/>
  <c r="L96" i="24"/>
  <c r="L5" i="25"/>
  <c r="N5" i="25" s="1"/>
  <c r="L5" i="24"/>
  <c r="M5" i="24"/>
  <c r="M5" i="25" s="1"/>
  <c r="Q5" i="25" s="1"/>
  <c r="M56" i="24"/>
  <c r="M56" i="25" s="1"/>
  <c r="Q56" i="25" s="1"/>
  <c r="L56" i="24"/>
  <c r="L56" i="25"/>
  <c r="N56" i="25" s="1"/>
  <c r="M48" i="24"/>
  <c r="M48" i="25" s="1"/>
  <c r="Q48" i="25" s="1"/>
  <c r="L48" i="24"/>
  <c r="L48" i="25"/>
  <c r="N48" i="25" s="1"/>
  <c r="L108" i="24"/>
  <c r="M108" i="24"/>
  <c r="M108" i="25" s="1"/>
  <c r="Q108" i="25" s="1"/>
  <c r="L108" i="25"/>
  <c r="N108" i="25" s="1"/>
  <c r="L156" i="24"/>
  <c r="M156" i="24"/>
  <c r="M156" i="25" s="1"/>
  <c r="Q156" i="25" s="1"/>
  <c r="L156" i="25"/>
  <c r="N156" i="25" s="1"/>
  <c r="L179" i="24"/>
  <c r="L179" i="25"/>
  <c r="N179" i="25" s="1"/>
  <c r="M179" i="24"/>
  <c r="M179" i="25" s="1"/>
  <c r="L178" i="24"/>
  <c r="M178" i="24"/>
  <c r="M178" i="25" s="1"/>
  <c r="Q178" i="25" s="1"/>
  <c r="L178" i="25"/>
  <c r="N178" i="25" s="1"/>
  <c r="M101" i="24"/>
  <c r="M101" i="25" s="1"/>
  <c r="Q101" i="25" s="1"/>
  <c r="L101" i="25"/>
  <c r="N101" i="25" s="1"/>
  <c r="L101" i="24"/>
  <c r="L171" i="25"/>
  <c r="N171" i="25" s="1"/>
  <c r="L171" i="24"/>
  <c r="M171" i="24"/>
  <c r="M171" i="25" s="1"/>
  <c r="Q171" i="25" s="1"/>
  <c r="L40" i="25"/>
  <c r="N40" i="25" s="1"/>
  <c r="M40" i="24"/>
  <c r="M40" i="25" s="1"/>
  <c r="Q40" i="25" s="1"/>
  <c r="L40" i="24"/>
  <c r="M36" i="24"/>
  <c r="M36" i="25" s="1"/>
  <c r="Q36" i="25" s="1"/>
  <c r="L36" i="24"/>
  <c r="L36" i="25"/>
  <c r="N36" i="25" s="1"/>
  <c r="L176" i="25"/>
  <c r="N176" i="25" s="1"/>
  <c r="L176" i="24"/>
  <c r="M176" i="24"/>
  <c r="M176" i="25" s="1"/>
  <c r="Q176" i="25" s="1"/>
  <c r="M138" i="24"/>
  <c r="M138" i="25" s="1"/>
  <c r="Q138" i="25" s="1"/>
  <c r="L138" i="24"/>
  <c r="L138" i="25"/>
  <c r="N138" i="25" s="1"/>
  <c r="L74" i="25"/>
  <c r="N74" i="25" s="1"/>
  <c r="M74" i="24"/>
  <c r="M74" i="25" s="1"/>
  <c r="L74" i="24"/>
  <c r="M128" i="24"/>
  <c r="M128" i="25" s="1"/>
  <c r="Q128" i="25" s="1"/>
  <c r="L128" i="25"/>
  <c r="N128" i="25" s="1"/>
  <c r="L128" i="24"/>
  <c r="M50" i="24"/>
  <c r="M50" i="25" s="1"/>
  <c r="Q50" i="25" s="1"/>
  <c r="L50" i="25"/>
  <c r="N50" i="25" s="1"/>
  <c r="L50" i="24"/>
  <c r="M11" i="24"/>
  <c r="M11" i="25" s="1"/>
  <c r="L11" i="25"/>
  <c r="N11" i="25" s="1"/>
  <c r="L11" i="24"/>
  <c r="L152" i="24"/>
  <c r="M152" i="24"/>
  <c r="M152" i="25" s="1"/>
  <c r="Q152" i="25" s="1"/>
  <c r="L152" i="25"/>
  <c r="N152" i="25" s="1"/>
  <c r="L99" i="25"/>
  <c r="N99" i="25" s="1"/>
  <c r="M99" i="24"/>
  <c r="M99" i="25" s="1"/>
  <c r="Q99" i="25" s="1"/>
  <c r="L99" i="24"/>
  <c r="L47" i="24"/>
  <c r="L47" i="25"/>
  <c r="N47" i="25" s="1"/>
  <c r="M47" i="24"/>
  <c r="M47" i="25" s="1"/>
  <c r="Q47" i="25" s="1"/>
  <c r="L89" i="25"/>
  <c r="N89" i="25" s="1"/>
  <c r="M89" i="24"/>
  <c r="M89" i="25" s="1"/>
  <c r="Q89" i="25" s="1"/>
  <c r="L89" i="24"/>
  <c r="L62" i="25"/>
  <c r="N62" i="25" s="1"/>
  <c r="L62" i="24"/>
  <c r="M62" i="24"/>
  <c r="M62" i="25" s="1"/>
  <c r="Q62" i="25" s="1"/>
  <c r="L124" i="24"/>
  <c r="L124" i="25"/>
  <c r="N124" i="25" s="1"/>
  <c r="M124" i="24"/>
  <c r="M124" i="25" s="1"/>
  <c r="Q124" i="25" s="1"/>
  <c r="L7" i="25"/>
  <c r="N7" i="25" s="1"/>
  <c r="L7" i="24"/>
  <c r="M7" i="24"/>
  <c r="M7" i="25" s="1"/>
  <c r="Q7" i="25" s="1"/>
  <c r="M6" i="24"/>
  <c r="M6" i="25" s="1"/>
  <c r="Q6" i="25" s="1"/>
  <c r="L6" i="25"/>
  <c r="N6" i="25" s="1"/>
  <c r="L6" i="24"/>
  <c r="L78" i="24"/>
  <c r="M78" i="24"/>
  <c r="M78" i="25" s="1"/>
  <c r="Q78" i="25" s="1"/>
  <c r="L78" i="25"/>
  <c r="N78" i="25" s="1"/>
  <c r="M133" i="24"/>
  <c r="M133" i="25" s="1"/>
  <c r="Q133" i="25" s="1"/>
  <c r="L133" i="25"/>
  <c r="N133" i="25" s="1"/>
  <c r="L133" i="24"/>
  <c r="M84" i="24"/>
  <c r="M84" i="25" s="1"/>
  <c r="Q84" i="25" s="1"/>
  <c r="L84" i="24"/>
  <c r="L84" i="25"/>
  <c r="N84" i="25" s="1"/>
  <c r="L92" i="24"/>
  <c r="M92" i="24"/>
  <c r="M92" i="25" s="1"/>
  <c r="Q92" i="25" s="1"/>
  <c r="L92" i="25"/>
  <c r="N92" i="25" s="1"/>
  <c r="L112" i="24"/>
  <c r="L112" i="25"/>
  <c r="N112" i="25" s="1"/>
  <c r="M112" i="24"/>
  <c r="M112" i="25" s="1"/>
  <c r="Q112" i="25" s="1"/>
  <c r="L28" i="25"/>
  <c r="N28" i="25" s="1"/>
  <c r="M28" i="24"/>
  <c r="M28" i="25" s="1"/>
  <c r="Q28" i="25" s="1"/>
  <c r="L28" i="24"/>
  <c r="M103" i="24"/>
  <c r="M103" i="25" s="1"/>
  <c r="Q103" i="25" s="1"/>
  <c r="L103" i="24"/>
  <c r="L103" i="25"/>
  <c r="N103" i="25" s="1"/>
  <c r="L180" i="25"/>
  <c r="N180" i="25" s="1"/>
  <c r="L180" i="24"/>
  <c r="M180" i="24"/>
  <c r="M180" i="25" s="1"/>
  <c r="Q180" i="25" s="1"/>
  <c r="M25" i="24"/>
  <c r="M25" i="25" s="1"/>
  <c r="L25" i="24"/>
  <c r="L25" i="25"/>
  <c r="N25" i="25" s="1"/>
  <c r="M86" i="24"/>
  <c r="M86" i="25" s="1"/>
  <c r="Q86" i="25" s="1"/>
  <c r="L86" i="25"/>
  <c r="N86" i="25" s="1"/>
  <c r="L86" i="24"/>
  <c r="L83" i="25"/>
  <c r="N83" i="25" s="1"/>
  <c r="L83" i="24"/>
  <c r="M83" i="24"/>
  <c r="M83" i="25" s="1"/>
  <c r="Q83" i="25" s="1"/>
  <c r="L120" i="25"/>
  <c r="N120" i="25" s="1"/>
  <c r="M120" i="24"/>
  <c r="M120" i="25" s="1"/>
  <c r="Q120" i="25" s="1"/>
  <c r="L120" i="24"/>
  <c r="L119" i="24"/>
  <c r="M119" i="24"/>
  <c r="M119" i="25" s="1"/>
  <c r="Q119" i="25" s="1"/>
  <c r="L119" i="25"/>
  <c r="N119" i="25" s="1"/>
  <c r="M169" i="24"/>
  <c r="M169" i="25" s="1"/>
  <c r="Q169" i="25" s="1"/>
  <c r="L169" i="25"/>
  <c r="N169" i="25" s="1"/>
  <c r="L169" i="24"/>
  <c r="M82" i="24"/>
  <c r="M82" i="25" s="1"/>
  <c r="Q82" i="25" s="1"/>
  <c r="L82" i="24"/>
  <c r="L82" i="25"/>
  <c r="N82" i="25" s="1"/>
  <c r="L54" i="24"/>
  <c r="L54" i="25"/>
  <c r="N54" i="25" s="1"/>
  <c r="M54" i="24"/>
  <c r="M54" i="25" s="1"/>
  <c r="Q54" i="25" s="1"/>
  <c r="L169" i="17"/>
  <c r="N169" i="17" s="1"/>
  <c r="L161" i="17"/>
  <c r="N161" i="17" s="1"/>
  <c r="M136" i="16"/>
  <c r="M136" i="17" s="1"/>
  <c r="Q136" i="17" s="1"/>
  <c r="L85" i="17"/>
  <c r="N85" i="17" s="1"/>
  <c r="L78" i="17"/>
  <c r="N78" i="17" s="1"/>
  <c r="L137" i="17"/>
  <c r="N137" i="17" s="1"/>
  <c r="L175" i="17"/>
  <c r="N175" i="17" s="1"/>
  <c r="L84" i="8"/>
  <c r="N84" i="8" s="1"/>
  <c r="L179" i="8"/>
  <c r="N179" i="8" s="1"/>
  <c r="L180" i="8"/>
  <c r="N180" i="8" s="1"/>
  <c r="L113" i="17"/>
  <c r="N113" i="17" s="1"/>
  <c r="L172" i="17"/>
  <c r="N172" i="17" s="1"/>
  <c r="L56" i="17"/>
  <c r="N56" i="17" s="1"/>
  <c r="L52" i="17"/>
  <c r="N52" i="17" s="1"/>
  <c r="L177" i="17"/>
  <c r="N177" i="17" s="1"/>
  <c r="L63" i="17"/>
  <c r="N63" i="17" s="1"/>
  <c r="L129" i="16"/>
  <c r="L60" i="17"/>
  <c r="N60" i="17" s="1"/>
  <c r="M131" i="2"/>
  <c r="M131" i="8" s="1"/>
  <c r="Q131" i="8" s="1"/>
  <c r="L165" i="8"/>
  <c r="N165" i="8" s="1"/>
  <c r="L130" i="8"/>
  <c r="N130" i="8" s="1"/>
  <c r="L106" i="2"/>
  <c r="M106" i="2"/>
  <c r="M106" i="8" s="1"/>
  <c r="Q106" i="8" s="1"/>
  <c r="L106" i="8"/>
  <c r="N106" i="8" s="1"/>
  <c r="L173" i="2"/>
  <c r="L173" i="8"/>
  <c r="N173" i="8" s="1"/>
  <c r="L127" i="8"/>
  <c r="N127" i="8" s="1"/>
  <c r="L97" i="8"/>
  <c r="N97" i="8" s="1"/>
  <c r="L97" i="2"/>
  <c r="L174" i="8"/>
  <c r="N174" i="8" s="1"/>
  <c r="L159" i="17"/>
  <c r="N159" i="17" s="1"/>
  <c r="L133" i="8"/>
  <c r="N133" i="8" s="1"/>
  <c r="M19" i="2"/>
  <c r="M19" i="8" s="1"/>
  <c r="Q19" i="8" s="1"/>
  <c r="L19" i="8"/>
  <c r="N19" i="8" s="1"/>
  <c r="L19" i="2"/>
  <c r="L7" i="8"/>
  <c r="N7" i="8" s="1"/>
  <c r="M7" i="2"/>
  <c r="M7" i="8" s="1"/>
  <c r="Q7" i="8" s="1"/>
  <c r="L7" i="2"/>
  <c r="L163" i="8"/>
  <c r="N163" i="8" s="1"/>
  <c r="L107" i="8"/>
  <c r="N107" i="8" s="1"/>
  <c r="L172" i="8"/>
  <c r="N172" i="8" s="1"/>
  <c r="M42" i="2"/>
  <c r="M42" i="8" s="1"/>
  <c r="Q42" i="8" s="1"/>
  <c r="L42" i="8"/>
  <c r="N42" i="8" s="1"/>
  <c r="L148" i="8"/>
  <c r="N148" i="8" s="1"/>
  <c r="L68" i="8"/>
  <c r="N68" i="8" s="1"/>
  <c r="L91" i="2"/>
  <c r="L91" i="8"/>
  <c r="N91" i="8" s="1"/>
  <c r="L170" i="17"/>
  <c r="N170" i="17" s="1"/>
  <c r="L125" i="17"/>
  <c r="N125" i="17" s="1"/>
  <c r="L120" i="17"/>
  <c r="N120" i="17" s="1"/>
  <c r="L150" i="17"/>
  <c r="N150" i="17" s="1"/>
  <c r="L140" i="17"/>
  <c r="N140" i="17" s="1"/>
  <c r="L156" i="17"/>
  <c r="N156" i="17" s="1"/>
  <c r="L169" i="8"/>
  <c r="N169" i="8" s="1"/>
  <c r="L167" i="8"/>
  <c r="N167" i="8" s="1"/>
  <c r="L62" i="8"/>
  <c r="N62" i="8" s="1"/>
  <c r="L87" i="8"/>
  <c r="N87" i="8" s="1"/>
  <c r="L98" i="17"/>
  <c r="N98" i="17" s="1"/>
  <c r="L93" i="2"/>
  <c r="M93" i="2"/>
  <c r="M93" i="8" s="1"/>
  <c r="Q93" i="8" s="1"/>
  <c r="L93" i="8"/>
  <c r="N93" i="8" s="1"/>
  <c r="L110" i="2"/>
  <c r="L110" i="8"/>
  <c r="N110" i="8" s="1"/>
  <c r="M110" i="2"/>
  <c r="M110" i="8" s="1"/>
  <c r="Q110" i="8" s="1"/>
  <c r="L52" i="8"/>
  <c r="N52" i="8" s="1"/>
  <c r="M52" i="2"/>
  <c r="M52" i="8" s="1"/>
  <c r="Q52" i="8" s="1"/>
  <c r="L52" i="2"/>
  <c r="L114" i="8"/>
  <c r="N114" i="8" s="1"/>
  <c r="M114" i="2"/>
  <c r="M114" i="8" s="1"/>
  <c r="Q114" i="8" s="1"/>
  <c r="L114" i="2"/>
  <c r="L162" i="8"/>
  <c r="N162" i="8" s="1"/>
  <c r="M162" i="2"/>
  <c r="M162" i="8" s="1"/>
  <c r="Q162" i="8" s="1"/>
  <c r="L162" i="2"/>
  <c r="L60" i="8"/>
  <c r="N60" i="8" s="1"/>
  <c r="L158" i="8"/>
  <c r="N158" i="8" s="1"/>
  <c r="M21" i="2"/>
  <c r="M21" i="8" s="1"/>
  <c r="Q21" i="8" s="1"/>
  <c r="L67" i="8"/>
  <c r="N67" i="8" s="1"/>
  <c r="L181" i="17"/>
  <c r="N181" i="17" s="1"/>
  <c r="M11" i="16"/>
  <c r="M11" i="17" s="1"/>
  <c r="L133" i="17"/>
  <c r="N133" i="17" s="1"/>
  <c r="M4" i="16"/>
  <c r="L143" i="17"/>
  <c r="N143" i="17" s="1"/>
  <c r="L153" i="17"/>
  <c r="N153" i="17" s="1"/>
  <c r="L140" i="8"/>
  <c r="N140" i="8" s="1"/>
  <c r="M124" i="2"/>
  <c r="M124" i="8" s="1"/>
  <c r="Q124" i="8" s="1"/>
  <c r="L124" i="8"/>
  <c r="N124" i="8" s="1"/>
  <c r="L124" i="2"/>
  <c r="L61" i="8"/>
  <c r="N61" i="8" s="1"/>
  <c r="M4" i="2"/>
  <c r="L4" i="8"/>
  <c r="N4" i="8" s="1"/>
  <c r="L154" i="8"/>
  <c r="N154" i="8" s="1"/>
  <c r="L154" i="2"/>
  <c r="L20" i="8"/>
  <c r="N20" i="8" s="1"/>
  <c r="L171" i="8"/>
  <c r="N171" i="8" s="1"/>
  <c r="L166" i="8"/>
  <c r="N166" i="8" s="1"/>
  <c r="L69" i="17"/>
  <c r="N69" i="17" s="1"/>
  <c r="L146" i="17"/>
  <c r="N146" i="17" s="1"/>
  <c r="L168" i="17"/>
  <c r="N168" i="17" s="1"/>
  <c r="L171" i="17"/>
  <c r="N171" i="17" s="1"/>
  <c r="L148" i="17"/>
  <c r="N148" i="17" s="1"/>
  <c r="L100" i="17"/>
  <c r="N100" i="17" s="1"/>
  <c r="L18" i="8"/>
  <c r="N18" i="8" s="1"/>
  <c r="L72" i="8"/>
  <c r="N72" i="8" s="1"/>
  <c r="L56" i="8"/>
  <c r="N56" i="8" s="1"/>
  <c r="L83" i="8"/>
  <c r="N83" i="8" s="1"/>
  <c r="L83" i="2"/>
  <c r="M83" i="2"/>
  <c r="M83" i="8" s="1"/>
  <c r="Q83" i="8" s="1"/>
  <c r="L112" i="8"/>
  <c r="N112" i="8" s="1"/>
  <c r="L178" i="8"/>
  <c r="N178" i="8" s="1"/>
  <c r="L178" i="2"/>
  <c r="M178" i="2"/>
  <c r="M178" i="8" s="1"/>
  <c r="Q178" i="8" s="1"/>
  <c r="L104" i="8" l="1"/>
  <c r="N104" i="8" s="1"/>
  <c r="L58" i="8"/>
  <c r="N58" i="8" s="1"/>
  <c r="M133" i="2"/>
  <c r="M133" i="8" s="1"/>
  <c r="Q133" i="8" s="1"/>
  <c r="L15" i="8"/>
  <c r="N15" i="8" s="1"/>
  <c r="M11" i="2"/>
  <c r="M11" i="8" s="1"/>
  <c r="L73" i="8"/>
  <c r="N73" i="8" s="1"/>
  <c r="M136" i="2"/>
  <c r="M136" i="8" s="1"/>
  <c r="Q136" i="8" s="1"/>
  <c r="L172" i="16"/>
  <c r="L33" i="8"/>
  <c r="N33" i="8" s="1"/>
  <c r="L70" i="17"/>
  <c r="N70" i="17" s="1"/>
  <c r="M145" i="2"/>
  <c r="M145" i="8" s="1"/>
  <c r="Q145" i="8" s="1"/>
  <c r="L11" i="2"/>
  <c r="L146" i="8"/>
  <c r="N146" i="8" s="1"/>
  <c r="M63" i="2"/>
  <c r="M63" i="8" s="1"/>
  <c r="Q63" i="8" s="1"/>
  <c r="L59" i="8"/>
  <c r="N59" i="8" s="1"/>
  <c r="M64" i="2"/>
  <c r="M64" i="8" s="1"/>
  <c r="Q64" i="8" s="1"/>
  <c r="L41" i="8"/>
  <c r="N41" i="8" s="1"/>
  <c r="M165" i="2"/>
  <c r="M165" i="8" s="1"/>
  <c r="Q165" i="8" s="1"/>
  <c r="L147" i="8"/>
  <c r="N147" i="8" s="1"/>
  <c r="L91" i="17"/>
  <c r="N91" i="17" s="1"/>
  <c r="L80" i="17"/>
  <c r="N80" i="17" s="1"/>
  <c r="L75" i="17"/>
  <c r="N75" i="17" s="1"/>
  <c r="L145" i="17"/>
  <c r="N145" i="17" s="1"/>
  <c r="L63" i="8"/>
  <c r="N63" i="8" s="1"/>
  <c r="L59" i="2"/>
  <c r="L64" i="2"/>
  <c r="L41" i="2"/>
  <c r="L6" i="17"/>
  <c r="N6" i="17" s="1"/>
  <c r="L89" i="8"/>
  <c r="N89" i="8" s="1"/>
  <c r="L145" i="8"/>
  <c r="N145" i="8" s="1"/>
  <c r="L82" i="8"/>
  <c r="N82" i="8" s="1"/>
  <c r="L144" i="17"/>
  <c r="N144" i="17" s="1"/>
  <c r="L80" i="2"/>
  <c r="L66" i="8"/>
  <c r="N66" i="8" s="1"/>
  <c r="L92" i="17"/>
  <c r="N92" i="17" s="1"/>
  <c r="L81" i="8"/>
  <c r="N81" i="8" s="1"/>
  <c r="L161" i="2"/>
  <c r="L103" i="8"/>
  <c r="N103" i="8" s="1"/>
  <c r="L87" i="17"/>
  <c r="N87" i="17" s="1"/>
  <c r="L153" i="16"/>
  <c r="L33" i="2"/>
  <c r="L136" i="2"/>
  <c r="M25" i="16"/>
  <c r="M25" i="17" s="1"/>
  <c r="Q25" i="17" s="1"/>
  <c r="L132" i="8"/>
  <c r="N132" i="8" s="1"/>
  <c r="L80" i="8"/>
  <c r="N80" i="8" s="1"/>
  <c r="L79" i="8"/>
  <c r="N79" i="8" s="1"/>
  <c r="L54" i="17"/>
  <c r="N54" i="17" s="1"/>
  <c r="L66" i="2"/>
  <c r="L48" i="2"/>
  <c r="L16" i="2"/>
  <c r="L83" i="17"/>
  <c r="N83" i="17" s="1"/>
  <c r="L54" i="16"/>
  <c r="M48" i="2"/>
  <c r="M48" i="8" s="1"/>
  <c r="Q48" i="8" s="1"/>
  <c r="L55" i="17"/>
  <c r="N55" i="17" s="1"/>
  <c r="L89" i="17"/>
  <c r="N89" i="17" s="1"/>
  <c r="L115" i="17"/>
  <c r="N115" i="17" s="1"/>
  <c r="L75" i="8"/>
  <c r="N75" i="8" s="1"/>
  <c r="L139" i="17"/>
  <c r="N139" i="17" s="1"/>
  <c r="L36" i="2"/>
  <c r="L117" i="8"/>
  <c r="N117" i="8" s="1"/>
  <c r="L108" i="17"/>
  <c r="N108" i="17" s="1"/>
  <c r="L116" i="8"/>
  <c r="N116" i="8" s="1"/>
  <c r="L121" i="8"/>
  <c r="N121" i="8" s="1"/>
  <c r="L139" i="8"/>
  <c r="N139" i="8" s="1"/>
  <c r="M117" i="2"/>
  <c r="M117" i="8" s="1"/>
  <c r="Q117" i="8" s="1"/>
  <c r="L75" i="16"/>
  <c r="L97" i="17"/>
  <c r="N97" i="17" s="1"/>
  <c r="L54" i="8"/>
  <c r="N54" i="8" s="1"/>
  <c r="L59" i="17"/>
  <c r="N59" i="17" s="1"/>
  <c r="L113" i="8"/>
  <c r="N113" i="8" s="1"/>
  <c r="L113" i="2"/>
  <c r="L29" i="2"/>
  <c r="L140" i="2"/>
  <c r="M29" i="2"/>
  <c r="M29" i="8" s="1"/>
  <c r="Q29" i="8" s="1"/>
  <c r="L148" i="2"/>
  <c r="L76" i="8"/>
  <c r="N76" i="8" s="1"/>
  <c r="L15" i="2"/>
  <c r="L76" i="2"/>
  <c r="L65" i="8"/>
  <c r="N65" i="8" s="1"/>
  <c r="L86" i="2"/>
  <c r="L107" i="16"/>
  <c r="M105" i="2"/>
  <c r="M105" i="8" s="1"/>
  <c r="Q105" i="8" s="1"/>
  <c r="L39" i="17"/>
  <c r="N39" i="17" s="1"/>
  <c r="L178" i="17"/>
  <c r="N178" i="17" s="1"/>
  <c r="L109" i="17"/>
  <c r="N109" i="17" s="1"/>
  <c r="M161" i="2"/>
  <c r="M161" i="8" s="1"/>
  <c r="Q161" i="8" s="1"/>
  <c r="L105" i="2"/>
  <c r="M112" i="16"/>
  <c r="M112" i="17" s="1"/>
  <c r="Q112" i="17" s="1"/>
  <c r="L90" i="17"/>
  <c r="N90" i="17" s="1"/>
  <c r="M68" i="2"/>
  <c r="M68" i="8" s="1"/>
  <c r="Q68" i="8" s="1"/>
  <c r="L78" i="2"/>
  <c r="L85" i="2"/>
  <c r="L159" i="8"/>
  <c r="N159" i="8" s="1"/>
  <c r="L131" i="2"/>
  <c r="L129" i="17"/>
  <c r="N129" i="17" s="1"/>
  <c r="L51" i="8"/>
  <c r="N51" i="8" s="1"/>
  <c r="M61" i="2"/>
  <c r="M61" i="8" s="1"/>
  <c r="Q61" i="8" s="1"/>
  <c r="L112" i="17"/>
  <c r="N112" i="17" s="1"/>
  <c r="L122" i="17"/>
  <c r="N122" i="17" s="1"/>
  <c r="L86" i="8"/>
  <c r="N86" i="8" s="1"/>
  <c r="L94" i="8"/>
  <c r="N94" i="8" s="1"/>
  <c r="L155" i="2"/>
  <c r="L37" i="16"/>
  <c r="M50" i="2"/>
  <c r="M50" i="8" s="1"/>
  <c r="Q50" i="8" s="1"/>
  <c r="M78" i="2"/>
  <c r="M78" i="8" s="1"/>
  <c r="Q78" i="8" s="1"/>
  <c r="M65" i="2"/>
  <c r="M65" i="8" s="1"/>
  <c r="Q65" i="8" s="1"/>
  <c r="M159" i="2"/>
  <c r="M159" i="8" s="1"/>
  <c r="Q159" i="8" s="1"/>
  <c r="M9" i="16"/>
  <c r="M9" i="17" s="1"/>
  <c r="Q9" i="17" s="1"/>
  <c r="L36" i="16"/>
  <c r="L28" i="16"/>
  <c r="L94" i="2"/>
  <c r="L92" i="2"/>
  <c r="L57" i="2"/>
  <c r="L55" i="2"/>
  <c r="L76" i="17"/>
  <c r="N76" i="17" s="1"/>
  <c r="M36" i="16"/>
  <c r="M36" i="17" s="1"/>
  <c r="Q36" i="17" s="1"/>
  <c r="M92" i="2"/>
  <c r="M92" i="8" s="1"/>
  <c r="Q92" i="8" s="1"/>
  <c r="L57" i="8"/>
  <c r="N57" i="8" s="1"/>
  <c r="L55" i="8"/>
  <c r="N55" i="8" s="1"/>
  <c r="L51" i="2"/>
  <c r="L61" i="16"/>
  <c r="L34" i="17"/>
  <c r="N34" i="17" s="1"/>
  <c r="L22" i="2"/>
  <c r="L37" i="17"/>
  <c r="N37" i="17" s="1"/>
  <c r="L50" i="2"/>
  <c r="L46" i="8"/>
  <c r="N46" i="8" s="1"/>
  <c r="L139" i="16"/>
  <c r="L23" i="8"/>
  <c r="N23" i="8" s="1"/>
  <c r="L139" i="2"/>
  <c r="L8" i="16"/>
  <c r="M58" i="2"/>
  <c r="M58" i="8" s="1"/>
  <c r="Q58" i="8" s="1"/>
  <c r="L78" i="16"/>
  <c r="L112" i="2"/>
  <c r="M75" i="2"/>
  <c r="M75" i="8" s="1"/>
  <c r="Q75" i="8" s="1"/>
  <c r="M47" i="16"/>
  <c r="M47" i="17" s="1"/>
  <c r="Q47" i="17" s="1"/>
  <c r="L28" i="2"/>
  <c r="M133" i="16"/>
  <c r="M133" i="17" s="1"/>
  <c r="Q133" i="17" s="1"/>
  <c r="L97" i="16"/>
  <c r="L150" i="16"/>
  <c r="L52" i="16"/>
  <c r="L84" i="2"/>
  <c r="L148" i="16"/>
  <c r="M171" i="16"/>
  <c r="M171" i="17" s="1"/>
  <c r="Q171" i="17" s="1"/>
  <c r="M87" i="2"/>
  <c r="M87" i="8" s="1"/>
  <c r="Q87" i="8" s="1"/>
  <c r="L35" i="8"/>
  <c r="N35" i="8" s="1"/>
  <c r="M39" i="2"/>
  <c r="M39" i="8" s="1"/>
  <c r="Q39" i="8" s="1"/>
  <c r="L91" i="16"/>
  <c r="L10" i="8"/>
  <c r="N10" i="8" s="1"/>
  <c r="L24" i="17"/>
  <c r="N24" i="17" s="1"/>
  <c r="L26" i="16"/>
  <c r="L20" i="2"/>
  <c r="L28" i="8"/>
  <c r="N28" i="8" s="1"/>
  <c r="L143" i="16"/>
  <c r="L23" i="16"/>
  <c r="L181" i="16"/>
  <c r="M158" i="2"/>
  <c r="M158" i="8" s="1"/>
  <c r="Q158" i="8" s="1"/>
  <c r="L14" i="2"/>
  <c r="L62" i="2"/>
  <c r="M47" i="2"/>
  <c r="M47" i="8" s="1"/>
  <c r="Q47" i="8" s="1"/>
  <c r="M20" i="16"/>
  <c r="M20" i="17" s="1"/>
  <c r="Q20" i="17" s="1"/>
  <c r="M177" i="16"/>
  <c r="M177" i="17" s="1"/>
  <c r="Q177" i="17" s="1"/>
  <c r="M175" i="16"/>
  <c r="M175" i="17" s="1"/>
  <c r="Q175" i="17" s="1"/>
  <c r="L161" i="16"/>
  <c r="L10" i="2"/>
  <c r="M56" i="2"/>
  <c r="M56" i="8" s="1"/>
  <c r="Q56" i="8" s="1"/>
  <c r="M36" i="2"/>
  <c r="M36" i="8" s="1"/>
  <c r="Q36" i="8" s="1"/>
  <c r="M18" i="2"/>
  <c r="M18" i="8" s="1"/>
  <c r="L104" i="2"/>
  <c r="M24" i="16"/>
  <c r="M24" i="17" s="1"/>
  <c r="Q24" i="17" s="1"/>
  <c r="L47" i="17"/>
  <c r="N47" i="17" s="1"/>
  <c r="M146" i="16"/>
  <c r="M146" i="17" s="1"/>
  <c r="Q146" i="17" s="1"/>
  <c r="M87" i="16"/>
  <c r="M87" i="17" s="1"/>
  <c r="Q87" i="17" s="1"/>
  <c r="L12" i="17"/>
  <c r="N12" i="17" s="1"/>
  <c r="M132" i="2"/>
  <c r="M132" i="8" s="1"/>
  <c r="Q132" i="8" s="1"/>
  <c r="M171" i="2"/>
  <c r="M171" i="8" s="1"/>
  <c r="Q171" i="8" s="1"/>
  <c r="L46" i="2"/>
  <c r="L5" i="16"/>
  <c r="L145" i="16"/>
  <c r="M23" i="16"/>
  <c r="M23" i="17" s="1"/>
  <c r="Q23" i="17" s="1"/>
  <c r="M79" i="2"/>
  <c r="M79" i="8" s="1"/>
  <c r="Q79" i="8" s="1"/>
  <c r="M14" i="2"/>
  <c r="M14" i="8" s="1"/>
  <c r="Q14" i="8" s="1"/>
  <c r="M140" i="16"/>
  <c r="M140" i="17" s="1"/>
  <c r="Q140" i="17" s="1"/>
  <c r="L108" i="16"/>
  <c r="M107" i="2"/>
  <c r="M107" i="8" s="1"/>
  <c r="Q107" i="8" s="1"/>
  <c r="L34" i="2"/>
  <c r="L35" i="2"/>
  <c r="M116" i="2"/>
  <c r="M116" i="8" s="1"/>
  <c r="Q116" i="8" s="1"/>
  <c r="L54" i="2"/>
  <c r="L43" i="8"/>
  <c r="N43" i="8" s="1"/>
  <c r="L73" i="2"/>
  <c r="M127" i="2"/>
  <c r="M127" i="8" s="1"/>
  <c r="Q127" i="8" s="1"/>
  <c r="L121" i="2"/>
  <c r="L55" i="16"/>
  <c r="L63" i="16"/>
  <c r="L92" i="16"/>
  <c r="M56" i="16"/>
  <c r="M56" i="17" s="1"/>
  <c r="Q56" i="17" s="1"/>
  <c r="L113" i="16"/>
  <c r="L147" i="2"/>
  <c r="L81" i="2"/>
  <c r="L16" i="8"/>
  <c r="N16" i="8" s="1"/>
  <c r="L59" i="16"/>
  <c r="L144" i="16"/>
  <c r="L10" i="17"/>
  <c r="N10" i="17" s="1"/>
  <c r="L43" i="2"/>
  <c r="L130" i="2"/>
  <c r="L20" i="17"/>
  <c r="N20" i="17" s="1"/>
  <c r="L39" i="2"/>
  <c r="M89" i="16"/>
  <c r="M89" i="17" s="1"/>
  <c r="Q89" i="17" s="1"/>
  <c r="L10" i="16"/>
  <c r="L26" i="17"/>
  <c r="N26" i="17" s="1"/>
  <c r="L69" i="16"/>
  <c r="L12" i="16"/>
  <c r="L5" i="17"/>
  <c r="N5" i="17" s="1"/>
  <c r="L4" i="17"/>
  <c r="N4" i="17" s="1"/>
  <c r="L80" i="16"/>
  <c r="L21" i="2"/>
  <c r="M23" i="2"/>
  <c r="M23" i="8" s="1"/>
  <c r="Q23" i="8" s="1"/>
  <c r="L98" i="16"/>
  <c r="L8" i="17"/>
  <c r="N8" i="17" s="1"/>
  <c r="M170" i="16"/>
  <c r="M170" i="17" s="1"/>
  <c r="Q170" i="17" s="1"/>
  <c r="M82" i="2"/>
  <c r="M82" i="8" s="1"/>
  <c r="Q82" i="8" s="1"/>
  <c r="L34" i="8"/>
  <c r="N34" i="8" s="1"/>
  <c r="L47" i="2"/>
  <c r="M45" i="2"/>
  <c r="M45" i="8" s="1"/>
  <c r="Q45" i="8" s="1"/>
  <c r="L40" i="8"/>
  <c r="N40" i="8" s="1"/>
  <c r="L103" i="2"/>
  <c r="M21" i="16"/>
  <c r="M21" i="17" s="1"/>
  <c r="Q21" i="17" s="1"/>
  <c r="L169" i="2"/>
  <c r="L172" i="2"/>
  <c r="M27" i="2"/>
  <c r="M27" i="8" s="1"/>
  <c r="Q27" i="8" s="1"/>
  <c r="L30" i="2"/>
  <c r="L72" i="2"/>
  <c r="M89" i="2"/>
  <c r="M89" i="8" s="1"/>
  <c r="Q89" i="8" s="1"/>
  <c r="L67" i="2"/>
  <c r="L146" i="2"/>
  <c r="M38" i="16"/>
  <c r="M38" i="17" s="1"/>
  <c r="Q38" i="17" s="1"/>
  <c r="L83" i="16"/>
  <c r="L85" i="16"/>
  <c r="L102" i="16"/>
  <c r="L6" i="8"/>
  <c r="N6" i="8" s="1"/>
  <c r="L14" i="17"/>
  <c r="N14" i="17" s="1"/>
  <c r="L27" i="2"/>
  <c r="M163" i="2"/>
  <c r="M163" i="8" s="1"/>
  <c r="Q163" i="8" s="1"/>
  <c r="M45" i="16"/>
  <c r="M45" i="17" s="1"/>
  <c r="Q45" i="17" s="1"/>
  <c r="M174" i="2"/>
  <c r="M174" i="8" s="1"/>
  <c r="Q174" i="8" s="1"/>
  <c r="Q30" i="46" s="1"/>
  <c r="L13" i="2"/>
  <c r="L42" i="16"/>
  <c r="L60" i="16"/>
  <c r="M150" i="2"/>
  <c r="M150" i="8" s="1"/>
  <c r="Q150" i="8" s="1"/>
  <c r="M70" i="16"/>
  <c r="M70" i="17" s="1"/>
  <c r="Q70" i="17" s="1"/>
  <c r="L137" i="16"/>
  <c r="L169" i="16"/>
  <c r="L45" i="8"/>
  <c r="N45" i="8" s="1"/>
  <c r="L40" i="2"/>
  <c r="M156" i="16"/>
  <c r="M156" i="17" s="1"/>
  <c r="Q156" i="17" s="1"/>
  <c r="L125" i="16"/>
  <c r="L44" i="2"/>
  <c r="M30" i="2"/>
  <c r="M30" i="8" s="1"/>
  <c r="Q30" i="8" s="1"/>
  <c r="L60" i="2"/>
  <c r="M167" i="2"/>
  <c r="M167" i="8" s="1"/>
  <c r="Q167" i="8" s="1"/>
  <c r="L6" i="2"/>
  <c r="L21" i="17"/>
  <c r="N21" i="17" s="1"/>
  <c r="L14" i="16"/>
  <c r="M120" i="16"/>
  <c r="M120" i="17" s="1"/>
  <c r="Q120" i="17" s="1"/>
  <c r="M44" i="2"/>
  <c r="M44" i="8" s="1"/>
  <c r="Q44" i="8" s="1"/>
  <c r="M124" i="16"/>
  <c r="M124" i="17" s="1"/>
  <c r="Q124" i="17" s="1"/>
  <c r="M13" i="2"/>
  <c r="M13" i="8" s="1"/>
  <c r="Q13" i="8" s="1"/>
  <c r="L42" i="17"/>
  <c r="N42" i="17" s="1"/>
  <c r="M151" i="2"/>
  <c r="M151" i="8" s="1"/>
  <c r="Q151" i="8" s="1"/>
  <c r="L38" i="17"/>
  <c r="N38" i="17" s="1"/>
  <c r="L115" i="16"/>
  <c r="M180" i="16"/>
  <c r="M180" i="17" s="1"/>
  <c r="Q180" i="17" s="1"/>
  <c r="L185" i="8"/>
  <c r="N185" i="8" s="1"/>
  <c r="M185" i="2"/>
  <c r="M185" i="8" s="1"/>
  <c r="Q185" i="8" s="1"/>
  <c r="L185" i="2"/>
  <c r="L183" i="17"/>
  <c r="N183" i="17" s="1"/>
  <c r="M183" i="16"/>
  <c r="M183" i="17" s="1"/>
  <c r="Q183" i="17" s="1"/>
  <c r="L183" i="16"/>
  <c r="L185" i="17"/>
  <c r="N185" i="17" s="1"/>
  <c r="M185" i="16"/>
  <c r="M185" i="17" s="1"/>
  <c r="Q185" i="17" s="1"/>
  <c r="L185" i="16"/>
  <c r="L183" i="8"/>
  <c r="N183" i="8" s="1"/>
  <c r="L183" i="2"/>
  <c r="M183" i="2"/>
  <c r="M183" i="8" s="1"/>
  <c r="Q183" i="8" s="1"/>
  <c r="L184" i="17"/>
  <c r="N184" i="17" s="1"/>
  <c r="L184" i="16"/>
  <c r="M184" i="16"/>
  <c r="M184" i="17" s="1"/>
  <c r="Q184" i="17" s="1"/>
  <c r="L184" i="8"/>
  <c r="N184" i="8" s="1"/>
  <c r="M184" i="2"/>
  <c r="M184" i="8" s="1"/>
  <c r="Q184" i="8" s="1"/>
  <c r="L184" i="2"/>
  <c r="L25" i="16"/>
  <c r="L176" i="2"/>
  <c r="L176" i="8"/>
  <c r="N176" i="8" s="1"/>
  <c r="Q179" i="25"/>
  <c r="P31" i="48"/>
  <c r="Q179" i="17"/>
  <c r="L182" i="8"/>
  <c r="N182" i="8" s="1"/>
  <c r="L179" i="17"/>
  <c r="N179" i="17" s="1"/>
  <c r="L181" i="8"/>
  <c r="N181" i="8" s="1"/>
  <c r="L175" i="8"/>
  <c r="N175" i="8" s="1"/>
  <c r="L107" i="17"/>
  <c r="N107" i="17" s="1"/>
  <c r="L66" i="17"/>
  <c r="N66" i="17" s="1"/>
  <c r="L111" i="8"/>
  <c r="N111" i="8" s="1"/>
  <c r="M125" i="2"/>
  <c r="M125" i="8" s="1"/>
  <c r="Q125" i="8" s="1"/>
  <c r="L26" i="2"/>
  <c r="L149" i="17"/>
  <c r="N149" i="17" s="1"/>
  <c r="L136" i="17"/>
  <c r="N136" i="17" s="1"/>
  <c r="L28" i="17"/>
  <c r="N28" i="17" s="1"/>
  <c r="L99" i="16"/>
  <c r="L118" i="16"/>
  <c r="L68" i="17"/>
  <c r="N68" i="17" s="1"/>
  <c r="M85" i="2"/>
  <c r="M85" i="8" s="1"/>
  <c r="Q85" i="8" s="1"/>
  <c r="L131" i="17"/>
  <c r="N131" i="17" s="1"/>
  <c r="L119" i="2"/>
  <c r="M5" i="2"/>
  <c r="M5" i="8" s="1"/>
  <c r="Q5" i="8" s="1"/>
  <c r="M68" i="16"/>
  <c r="M68" i="17" s="1"/>
  <c r="Q68" i="17" s="1"/>
  <c r="L164" i="8"/>
  <c r="N164" i="8" s="1"/>
  <c r="L142" i="8"/>
  <c r="N142" i="8" s="1"/>
  <c r="L134" i="16"/>
  <c r="M179" i="2"/>
  <c r="M179" i="8" s="1"/>
  <c r="Q179" i="8" s="1"/>
  <c r="L160" i="8"/>
  <c r="N160" i="8" s="1"/>
  <c r="L37" i="8"/>
  <c r="N37" i="8" s="1"/>
  <c r="L70" i="2"/>
  <c r="L101" i="17"/>
  <c r="N101" i="17" s="1"/>
  <c r="L32" i="16"/>
  <c r="L160" i="17"/>
  <c r="N160" i="17" s="1"/>
  <c r="L164" i="17"/>
  <c r="N164" i="17" s="1"/>
  <c r="L166" i="17"/>
  <c r="N166" i="17" s="1"/>
  <c r="L149" i="8"/>
  <c r="N149" i="8" s="1"/>
  <c r="L168" i="8"/>
  <c r="N168" i="8" s="1"/>
  <c r="L170" i="8"/>
  <c r="N170" i="8" s="1"/>
  <c r="Q172" i="17"/>
  <c r="L173" i="17"/>
  <c r="N173" i="17" s="1"/>
  <c r="Q172" i="25"/>
  <c r="Q30" i="48" s="1"/>
  <c r="P30" i="48"/>
  <c r="M155" i="16"/>
  <c r="M155" i="17" s="1"/>
  <c r="Q155" i="17" s="1"/>
  <c r="M178" i="16"/>
  <c r="M178" i="17" s="1"/>
  <c r="Q178" i="17" s="1"/>
  <c r="L66" i="16"/>
  <c r="L48" i="17"/>
  <c r="N48" i="17" s="1"/>
  <c r="L73" i="16"/>
  <c r="L121" i="16"/>
  <c r="L118" i="2"/>
  <c r="M135" i="16"/>
  <c r="M135" i="17" s="1"/>
  <c r="Q135" i="17" s="1"/>
  <c r="L69" i="2"/>
  <c r="L108" i="8"/>
  <c r="N108" i="8" s="1"/>
  <c r="L9" i="8"/>
  <c r="N9" i="8" s="1"/>
  <c r="L147" i="16"/>
  <c r="M32" i="2"/>
  <c r="M32" i="8" s="1"/>
  <c r="Q32" i="8" s="1"/>
  <c r="M141" i="2"/>
  <c r="M141" i="8" s="1"/>
  <c r="Q141" i="8" s="1"/>
  <c r="L71" i="2"/>
  <c r="L7" i="16"/>
  <c r="L95" i="16"/>
  <c r="L6" i="16"/>
  <c r="L114" i="17"/>
  <c r="N114" i="17" s="1"/>
  <c r="L106" i="17"/>
  <c r="N106" i="17" s="1"/>
  <c r="M25" i="2"/>
  <c r="M25" i="8" s="1"/>
  <c r="Q25" i="8" s="1"/>
  <c r="M122" i="2"/>
  <c r="M122" i="8" s="1"/>
  <c r="Q122" i="8" s="1"/>
  <c r="M43" i="16"/>
  <c r="M43" i="17" s="1"/>
  <c r="Q43" i="17" s="1"/>
  <c r="M100" i="16"/>
  <c r="M100" i="17" s="1"/>
  <c r="Q100" i="17" s="1"/>
  <c r="M76" i="16"/>
  <c r="M76" i="17" s="1"/>
  <c r="Q76" i="17" s="1"/>
  <c r="M61" i="16"/>
  <c r="M61" i="17" s="1"/>
  <c r="Q61" i="17" s="1"/>
  <c r="L111" i="2"/>
  <c r="M118" i="16"/>
  <c r="M118" i="17" s="1"/>
  <c r="Q118" i="17" s="1"/>
  <c r="M157" i="16"/>
  <c r="M157" i="17" s="1"/>
  <c r="Q157" i="17" s="1"/>
  <c r="L22" i="8"/>
  <c r="N22" i="8" s="1"/>
  <c r="L129" i="2"/>
  <c r="L155" i="16"/>
  <c r="M168" i="16"/>
  <c r="M168" i="17" s="1"/>
  <c r="Q168" i="17" s="1"/>
  <c r="M48" i="16"/>
  <c r="M48" i="17" s="1"/>
  <c r="Q48" i="17" s="1"/>
  <c r="L34" i="16"/>
  <c r="M151" i="16"/>
  <c r="M151" i="17" s="1"/>
  <c r="Q151" i="17" s="1"/>
  <c r="L121" i="17"/>
  <c r="N121" i="17" s="1"/>
  <c r="L127" i="16"/>
  <c r="M122" i="16"/>
  <c r="M122" i="17" s="1"/>
  <c r="Q122" i="17" s="1"/>
  <c r="L93" i="16"/>
  <c r="L135" i="17"/>
  <c r="N135" i="17" s="1"/>
  <c r="M108" i="2"/>
  <c r="M108" i="8" s="1"/>
  <c r="Q108" i="8" s="1"/>
  <c r="M71" i="2"/>
  <c r="M71" i="8" s="1"/>
  <c r="Q71" i="8" s="1"/>
  <c r="M164" i="2"/>
  <c r="M164" i="8" s="1"/>
  <c r="Q164" i="8" s="1"/>
  <c r="L106" i="16"/>
  <c r="L122" i="2"/>
  <c r="M37" i="2"/>
  <c r="M37" i="8" s="1"/>
  <c r="Q37" i="8" s="1"/>
  <c r="L43" i="16"/>
  <c r="L38" i="8"/>
  <c r="N38" i="8" s="1"/>
  <c r="M155" i="2"/>
  <c r="M155" i="8" s="1"/>
  <c r="Q155" i="8" s="1"/>
  <c r="L77" i="8"/>
  <c r="N77" i="8" s="1"/>
  <c r="L119" i="8"/>
  <c r="N119" i="8" s="1"/>
  <c r="M123" i="2"/>
  <c r="M123" i="8" s="1"/>
  <c r="Q123" i="8" s="1"/>
  <c r="L32" i="2"/>
  <c r="M38" i="2"/>
  <c r="M38" i="8" s="1"/>
  <c r="Q38" i="8" s="1"/>
  <c r="L95" i="17"/>
  <c r="N95" i="17" s="1"/>
  <c r="L96" i="17"/>
  <c r="N96" i="17" s="1"/>
  <c r="M39" i="16"/>
  <c r="M39" i="17" s="1"/>
  <c r="Q39" i="17" s="1"/>
  <c r="M101" i="16"/>
  <c r="M101" i="17" s="1"/>
  <c r="Q101" i="17" s="1"/>
  <c r="L74" i="16"/>
  <c r="M138" i="2"/>
  <c r="M138" i="8" s="1"/>
  <c r="Q138" i="8" s="1"/>
  <c r="L151" i="16"/>
  <c r="L73" i="17"/>
  <c r="N73" i="17" s="1"/>
  <c r="M127" i="16"/>
  <c r="M127" i="17" s="1"/>
  <c r="Q127" i="17" s="1"/>
  <c r="L11" i="17"/>
  <c r="N11" i="17" s="1"/>
  <c r="L99" i="17"/>
  <c r="N99" i="17" s="1"/>
  <c r="L157" i="17"/>
  <c r="N157" i="17" s="1"/>
  <c r="L129" i="8"/>
  <c r="N129" i="8" s="1"/>
  <c r="M90" i="16"/>
  <c r="M90" i="17" s="1"/>
  <c r="Q90" i="17" s="1"/>
  <c r="L27" i="16"/>
  <c r="M131" i="16"/>
  <c r="M131" i="17" s="1"/>
  <c r="Q131" i="17" s="1"/>
  <c r="M77" i="2"/>
  <c r="M77" i="8" s="1"/>
  <c r="Q77" i="8" s="1"/>
  <c r="L5" i="8"/>
  <c r="N5" i="8" s="1"/>
  <c r="L118" i="8"/>
  <c r="N118" i="8" s="1"/>
  <c r="M93" i="16"/>
  <c r="M93" i="17" s="1"/>
  <c r="Q93" i="17" s="1"/>
  <c r="M69" i="2"/>
  <c r="M69" i="8" s="1"/>
  <c r="Q69" i="8" s="1"/>
  <c r="L9" i="2"/>
  <c r="L125" i="2"/>
  <c r="M147" i="16"/>
  <c r="M147" i="17" s="1"/>
  <c r="Q147" i="17" s="1"/>
  <c r="L123" i="8"/>
  <c r="N123" i="8" s="1"/>
  <c r="L141" i="2"/>
  <c r="M142" i="2"/>
  <c r="M142" i="8" s="1"/>
  <c r="Q142" i="8" s="1"/>
  <c r="L26" i="8"/>
  <c r="N26" i="8" s="1"/>
  <c r="L7" i="17"/>
  <c r="N7" i="17" s="1"/>
  <c r="L134" i="17"/>
  <c r="N134" i="17" s="1"/>
  <c r="L149" i="16"/>
  <c r="L96" i="16"/>
  <c r="L9" i="17"/>
  <c r="N9" i="17" s="1"/>
  <c r="M114" i="16"/>
  <c r="M114" i="17" s="1"/>
  <c r="Q114" i="17" s="1"/>
  <c r="L25" i="8"/>
  <c r="N25" i="8" s="1"/>
  <c r="L160" i="2"/>
  <c r="M70" i="2"/>
  <c r="M70" i="8" s="1"/>
  <c r="Q70" i="8" s="1"/>
  <c r="L32" i="17"/>
  <c r="N32" i="17" s="1"/>
  <c r="M153" i="2"/>
  <c r="M153" i="8" s="1"/>
  <c r="Q153" i="8" s="1"/>
  <c r="L100" i="2"/>
  <c r="L182" i="2"/>
  <c r="L109" i="2"/>
  <c r="L134" i="8"/>
  <c r="N134" i="8" s="1"/>
  <c r="M74" i="2"/>
  <c r="M74" i="8" s="1"/>
  <c r="Q74" i="8" s="1"/>
  <c r="L163" i="17"/>
  <c r="N163" i="17" s="1"/>
  <c r="M40" i="16"/>
  <c r="M40" i="17" s="1"/>
  <c r="Q40" i="17" s="1"/>
  <c r="L141" i="17"/>
  <c r="N141" i="17" s="1"/>
  <c r="M137" i="2"/>
  <c r="M137" i="8" s="1"/>
  <c r="Q137" i="8" s="1"/>
  <c r="M170" i="2"/>
  <c r="M170" i="8" s="1"/>
  <c r="Q170" i="8" s="1"/>
  <c r="L152" i="8"/>
  <c r="N152" i="8" s="1"/>
  <c r="M98" i="2"/>
  <c r="M98" i="8" s="1"/>
  <c r="Q98" i="8" s="1"/>
  <c r="L175" i="2"/>
  <c r="M111" i="16"/>
  <c r="M111" i="17" s="1"/>
  <c r="Q111" i="17" s="1"/>
  <c r="L115" i="2"/>
  <c r="L144" i="8"/>
  <c r="N144" i="8" s="1"/>
  <c r="L109" i="8"/>
  <c r="N109" i="8" s="1"/>
  <c r="L126" i="8"/>
  <c r="N126" i="8" s="1"/>
  <c r="M44" i="16"/>
  <c r="M44" i="17" s="1"/>
  <c r="Q44" i="17" s="1"/>
  <c r="L160" i="16"/>
  <c r="L153" i="8"/>
  <c r="N153" i="8" s="1"/>
  <c r="L50" i="16"/>
  <c r="L135" i="8"/>
  <c r="N135" i="8" s="1"/>
  <c r="L120" i="8"/>
  <c r="N120" i="8" s="1"/>
  <c r="L49" i="17"/>
  <c r="N49" i="17" s="1"/>
  <c r="L111" i="17"/>
  <c r="N111" i="17" s="1"/>
  <c r="L115" i="8"/>
  <c r="N115" i="8" s="1"/>
  <c r="L119" i="17"/>
  <c r="N119" i="17" s="1"/>
  <c r="L86" i="17"/>
  <c r="N86" i="17" s="1"/>
  <c r="L128" i="17"/>
  <c r="N128" i="17" s="1"/>
  <c r="L117" i="17"/>
  <c r="N117" i="17" s="1"/>
  <c r="L41" i="16"/>
  <c r="L143" i="8"/>
  <c r="N143" i="8" s="1"/>
  <c r="L152" i="2"/>
  <c r="L138" i="8"/>
  <c r="N138" i="8" s="1"/>
  <c r="M102" i="2"/>
  <c r="M102" i="8" s="1"/>
  <c r="Q102" i="8" s="1"/>
  <c r="L12" i="2"/>
  <c r="L179" i="16"/>
  <c r="M17" i="16"/>
  <c r="M17" i="17" s="1"/>
  <c r="Q17" i="17" s="1"/>
  <c r="M149" i="2"/>
  <c r="M149" i="8" s="1"/>
  <c r="Q149" i="8" s="1"/>
  <c r="L137" i="8"/>
  <c r="N137" i="8" s="1"/>
  <c r="L64" i="16"/>
  <c r="M163" i="16"/>
  <c r="M163" i="17" s="1"/>
  <c r="Q163" i="17" s="1"/>
  <c r="L18" i="16"/>
  <c r="L138" i="17"/>
  <c r="N138" i="17" s="1"/>
  <c r="M65" i="16"/>
  <c r="M65" i="17" s="1"/>
  <c r="Q65" i="17" s="1"/>
  <c r="M144" i="2"/>
  <c r="M144" i="8" s="1"/>
  <c r="Q137" i="17"/>
  <c r="Q144" i="25"/>
  <c r="Q26" i="48" s="1"/>
  <c r="P26" i="48"/>
  <c r="Q158" i="17"/>
  <c r="Q137" i="25"/>
  <c r="Q25" i="48" s="1"/>
  <c r="P25" i="48"/>
  <c r="Q158" i="25"/>
  <c r="Q28" i="48" s="1"/>
  <c r="P28" i="48"/>
  <c r="Q165" i="17"/>
  <c r="Q144" i="17"/>
  <c r="Q165" i="25"/>
  <c r="Q29" i="48" s="1"/>
  <c r="P29" i="48"/>
  <c r="Q151" i="25"/>
  <c r="Q27" i="48" s="1"/>
  <c r="P27" i="48"/>
  <c r="Q116" i="25"/>
  <c r="Q22" i="48" s="1"/>
  <c r="P22" i="48"/>
  <c r="Q109" i="8"/>
  <c r="Q21" i="46" s="1"/>
  <c r="P21" i="46"/>
  <c r="Q109" i="25"/>
  <c r="Q21" i="48" s="1"/>
  <c r="P21" i="48"/>
  <c r="Q123" i="25"/>
  <c r="Q23" i="48" s="1"/>
  <c r="P23" i="48"/>
  <c r="Q109" i="17"/>
  <c r="Q130" i="8"/>
  <c r="Q130" i="25"/>
  <c r="Q24" i="48" s="1"/>
  <c r="P24" i="48"/>
  <c r="Q95" i="25"/>
  <c r="Q19" i="48" s="1"/>
  <c r="P19" i="48"/>
  <c r="L74" i="8"/>
  <c r="N74" i="8" s="1"/>
  <c r="L12" i="8"/>
  <c r="N12" i="8" s="1"/>
  <c r="L158" i="16"/>
  <c r="L166" i="16"/>
  <c r="M27" i="16"/>
  <c r="M27" i="17" s="1"/>
  <c r="Q27" i="17" s="1"/>
  <c r="M141" i="16"/>
  <c r="M141" i="17" s="1"/>
  <c r="Q141" i="17" s="1"/>
  <c r="M19" i="16"/>
  <c r="M19" i="17" s="1"/>
  <c r="Q19" i="17" s="1"/>
  <c r="M100" i="2"/>
  <c r="M100" i="8" s="1"/>
  <c r="Q100" i="8" s="1"/>
  <c r="M81" i="16"/>
  <c r="M81" i="17" s="1"/>
  <c r="L64" i="17"/>
  <c r="N64" i="17" s="1"/>
  <c r="M74" i="16"/>
  <c r="M74" i="17" s="1"/>
  <c r="Q74" i="17" s="1"/>
  <c r="L50" i="17"/>
  <c r="N50" i="17" s="1"/>
  <c r="L135" i="2"/>
  <c r="L120" i="2"/>
  <c r="M17" i="2"/>
  <c r="M17" i="8" s="1"/>
  <c r="Q17" i="8" s="1"/>
  <c r="M86" i="16"/>
  <c r="M86" i="17" s="1"/>
  <c r="Q86" i="17" s="1"/>
  <c r="M29" i="16"/>
  <c r="M29" i="17" s="1"/>
  <c r="Q29" i="17" s="1"/>
  <c r="L35" i="16"/>
  <c r="L138" i="16"/>
  <c r="L40" i="16"/>
  <c r="L117" i="16"/>
  <c r="L65" i="17"/>
  <c r="N65" i="17" s="1"/>
  <c r="M31" i="16"/>
  <c r="M31" i="17" s="1"/>
  <c r="Q31" i="17" s="1"/>
  <c r="M143" i="2"/>
  <c r="M143" i="8" s="1"/>
  <c r="Q143" i="8" s="1"/>
  <c r="M16" i="16"/>
  <c r="M16" i="17" s="1"/>
  <c r="Q16" i="17" s="1"/>
  <c r="M173" i="16"/>
  <c r="M173" i="17" s="1"/>
  <c r="Q173" i="17" s="1"/>
  <c r="Q102" i="25"/>
  <c r="Q20" i="48" s="1"/>
  <c r="P20" i="48"/>
  <c r="L98" i="2"/>
  <c r="M134" i="2"/>
  <c r="M134" i="8" s="1"/>
  <c r="Q134" i="8" s="1"/>
  <c r="L128" i="16"/>
  <c r="L44" i="17"/>
  <c r="N44" i="17" s="1"/>
  <c r="L17" i="17"/>
  <c r="N17" i="17" s="1"/>
  <c r="L19" i="17"/>
  <c r="N19" i="17" s="1"/>
  <c r="L181" i="2"/>
  <c r="L168" i="2"/>
  <c r="L17" i="8"/>
  <c r="N17" i="8" s="1"/>
  <c r="L57" i="17"/>
  <c r="N57" i="17" s="1"/>
  <c r="L110" i="16"/>
  <c r="L103" i="17"/>
  <c r="N103" i="17" s="1"/>
  <c r="M164" i="16"/>
  <c r="M164" i="17" s="1"/>
  <c r="Q164" i="17" s="1"/>
  <c r="M41" i="16"/>
  <c r="M41" i="17" s="1"/>
  <c r="Q41" i="17" s="1"/>
  <c r="L31" i="16"/>
  <c r="Q95" i="17"/>
  <c r="Q81" i="8"/>
  <c r="M119" i="16"/>
  <c r="M119" i="17" s="1"/>
  <c r="Q119" i="17" s="1"/>
  <c r="L16" i="17"/>
  <c r="N16" i="17" s="1"/>
  <c r="Q88" i="8"/>
  <c r="Q81" i="25"/>
  <c r="Q17" i="48" s="1"/>
  <c r="P17" i="48"/>
  <c r="Q88" i="25"/>
  <c r="Q18" i="48" s="1"/>
  <c r="P18" i="48"/>
  <c r="M51" i="16"/>
  <c r="M51" i="17" s="1"/>
  <c r="Q51" i="17" s="1"/>
  <c r="Q11" i="17"/>
  <c r="Q32" i="25"/>
  <c r="Q10" i="48" s="1"/>
  <c r="P10" i="48"/>
  <c r="Q18" i="8"/>
  <c r="Q18" i="25"/>
  <c r="Q8" i="48" s="1"/>
  <c r="P8" i="48"/>
  <c r="Q39" i="25"/>
  <c r="Q11" i="48" s="1"/>
  <c r="P11" i="48"/>
  <c r="Q32" i="17"/>
  <c r="Q60" i="17"/>
  <c r="Q11" i="25"/>
  <c r="Q7" i="48" s="1"/>
  <c r="P7" i="48"/>
  <c r="Q74" i="25"/>
  <c r="Q16" i="48" s="1"/>
  <c r="P16" i="48"/>
  <c r="Q60" i="25"/>
  <c r="Q14" i="48" s="1"/>
  <c r="P14" i="48"/>
  <c r="Q53" i="25"/>
  <c r="Q13" i="48" s="1"/>
  <c r="P13" i="48"/>
  <c r="Q53" i="8"/>
  <c r="Q67" i="17"/>
  <c r="Q11" i="8"/>
  <c r="Q46" i="8"/>
  <c r="Q67" i="8"/>
  <c r="Q60" i="8"/>
  <c r="Q25" i="25"/>
  <c r="Q9" i="48" s="1"/>
  <c r="P9" i="48"/>
  <c r="Q46" i="25"/>
  <c r="Q12" i="48" s="1"/>
  <c r="P12" i="48"/>
  <c r="Q67" i="25"/>
  <c r="Q15" i="48" s="1"/>
  <c r="P15" i="48"/>
  <c r="M84" i="16"/>
  <c r="M84" i="17" s="1"/>
  <c r="Q84" i="17" s="1"/>
  <c r="M95" i="2"/>
  <c r="M95" i="8" s="1"/>
  <c r="L99" i="2"/>
  <c r="M8" i="2"/>
  <c r="M8" i="8" s="1"/>
  <c r="Q8" i="8" s="1"/>
  <c r="M126" i="2"/>
  <c r="M126" i="8" s="1"/>
  <c r="Q126" i="8" s="1"/>
  <c r="L158" i="17"/>
  <c r="N158" i="17" s="1"/>
  <c r="L81" i="17"/>
  <c r="N81" i="17" s="1"/>
  <c r="L49" i="16"/>
  <c r="L29" i="17"/>
  <c r="N29" i="17" s="1"/>
  <c r="L58" i="16"/>
  <c r="L22" i="16"/>
  <c r="M18" i="16"/>
  <c r="M18" i="17" s="1"/>
  <c r="L35" i="17"/>
  <c r="N35" i="17" s="1"/>
  <c r="L72" i="16"/>
  <c r="L33" i="17"/>
  <c r="N33" i="17" s="1"/>
  <c r="L49" i="8"/>
  <c r="N49" i="8" s="1"/>
  <c r="L51" i="16"/>
  <c r="L95" i="8"/>
  <c r="N95" i="8" s="1"/>
  <c r="L99" i="8"/>
  <c r="N99" i="8" s="1"/>
  <c r="L8" i="8"/>
  <c r="N8" i="8" s="1"/>
  <c r="L30" i="17"/>
  <c r="N30" i="17" s="1"/>
  <c r="M57" i="16"/>
  <c r="M57" i="17" s="1"/>
  <c r="Q57" i="17" s="1"/>
  <c r="L58" i="17"/>
  <c r="N58" i="17" s="1"/>
  <c r="M22" i="16"/>
  <c r="M22" i="17" s="1"/>
  <c r="Q22" i="17" s="1"/>
  <c r="M110" i="16"/>
  <c r="M110" i="17" s="1"/>
  <c r="Q110" i="17" s="1"/>
  <c r="M72" i="16"/>
  <c r="M72" i="17" s="1"/>
  <c r="Q72" i="17" s="1"/>
  <c r="L84" i="17"/>
  <c r="N84" i="17" s="1"/>
  <c r="L177" i="8"/>
  <c r="N177" i="8" s="1"/>
  <c r="M49" i="2"/>
  <c r="M49" i="8" s="1"/>
  <c r="Q49" i="8" s="1"/>
  <c r="L102" i="8"/>
  <c r="N102" i="8" s="1"/>
  <c r="L30" i="16"/>
  <c r="M103" i="16"/>
  <c r="M103" i="17" s="1"/>
  <c r="Q103" i="17" s="1"/>
  <c r="L180" i="2"/>
  <c r="L101" i="8"/>
  <c r="N101" i="8" s="1"/>
  <c r="L90" i="8"/>
  <c r="N90" i="8" s="1"/>
  <c r="M79" i="16"/>
  <c r="M79" i="17" s="1"/>
  <c r="Q79" i="17" s="1"/>
  <c r="M94" i="16"/>
  <c r="M94" i="17" s="1"/>
  <c r="Q94" i="17" s="1"/>
  <c r="L152" i="17"/>
  <c r="N152" i="17" s="1"/>
  <c r="L46" i="16"/>
  <c r="M96" i="2"/>
  <c r="M96" i="8" s="1"/>
  <c r="Q96" i="8" s="1"/>
  <c r="L156" i="2"/>
  <c r="L13" i="17"/>
  <c r="N13" i="17" s="1"/>
  <c r="L165" i="17"/>
  <c r="N165" i="17" s="1"/>
  <c r="L77" i="16"/>
  <c r="L82" i="17"/>
  <c r="N82" i="17" s="1"/>
  <c r="L105" i="16"/>
  <c r="L154" i="16"/>
  <c r="M104" i="16"/>
  <c r="M104" i="17" s="1"/>
  <c r="Q104" i="17" s="1"/>
  <c r="M53" i="16"/>
  <c r="M53" i="17" s="1"/>
  <c r="L123" i="17"/>
  <c r="N123" i="17" s="1"/>
  <c r="L132" i="16"/>
  <c r="M162" i="16"/>
  <c r="M162" i="17" s="1"/>
  <c r="Q162" i="17" s="1"/>
  <c r="L88" i="16"/>
  <c r="L128" i="8"/>
  <c r="N128" i="8" s="1"/>
  <c r="L88" i="8"/>
  <c r="N88" i="8" s="1"/>
  <c r="L67" i="16"/>
  <c r="L62" i="16"/>
  <c r="M116" i="16"/>
  <c r="M116" i="17" s="1"/>
  <c r="L24" i="2"/>
  <c r="L88" i="2"/>
  <c r="M156" i="2"/>
  <c r="M156" i="8" s="1"/>
  <c r="Q156" i="8" s="1"/>
  <c r="L53" i="2"/>
  <c r="M166" i="2"/>
  <c r="M166" i="8" s="1"/>
  <c r="Q166" i="8" s="1"/>
  <c r="L157" i="8"/>
  <c r="N157" i="8" s="1"/>
  <c r="L165" i="16"/>
  <c r="L82" i="16"/>
  <c r="M154" i="16"/>
  <c r="M154" i="17" s="1"/>
  <c r="Q154" i="17" s="1"/>
  <c r="L53" i="17"/>
  <c r="N53" i="17" s="1"/>
  <c r="L79" i="17"/>
  <c r="N79" i="17" s="1"/>
  <c r="L109" i="16"/>
  <c r="L15" i="17"/>
  <c r="N15" i="17" s="1"/>
  <c r="L132" i="17"/>
  <c r="N132" i="17" s="1"/>
  <c r="L176" i="16"/>
  <c r="L94" i="16"/>
  <c r="M130" i="16"/>
  <c r="M130" i="17" s="1"/>
  <c r="L180" i="17"/>
  <c r="N180" i="17" s="1"/>
  <c r="L182" i="17"/>
  <c r="N182" i="17" s="1"/>
  <c r="L67" i="17"/>
  <c r="N67" i="17" s="1"/>
  <c r="M126" i="16"/>
  <c r="M126" i="17" s="1"/>
  <c r="Q126" i="17" s="1"/>
  <c r="L162" i="16"/>
  <c r="L45" i="16"/>
  <c r="L62" i="17"/>
  <c r="N62" i="17" s="1"/>
  <c r="L124" i="17"/>
  <c r="N124" i="17" s="1"/>
  <c r="M71" i="16"/>
  <c r="M71" i="17" s="1"/>
  <c r="Q71" i="17" s="1"/>
  <c r="L116" i="16"/>
  <c r="L142" i="17"/>
  <c r="N142" i="17" s="1"/>
  <c r="M88" i="16"/>
  <c r="M88" i="17" s="1"/>
  <c r="L167" i="16"/>
  <c r="M152" i="16"/>
  <c r="M152" i="17" s="1"/>
  <c r="Q152" i="17" s="1"/>
  <c r="L174" i="16"/>
  <c r="M159" i="16"/>
  <c r="M159" i="17" s="1"/>
  <c r="Q159" i="17" s="1"/>
  <c r="M31" i="2"/>
  <c r="M31" i="8" s="1"/>
  <c r="Q31" i="8" s="1"/>
  <c r="L24" i="8"/>
  <c r="N24" i="8" s="1"/>
  <c r="L96" i="2"/>
  <c r="M102" i="16"/>
  <c r="M102" i="17" s="1"/>
  <c r="L53" i="8"/>
  <c r="N53" i="8" s="1"/>
  <c r="M157" i="2"/>
  <c r="M157" i="8" s="1"/>
  <c r="Q157" i="8" s="1"/>
  <c r="M13" i="16"/>
  <c r="M13" i="17" s="1"/>
  <c r="Q13" i="17" s="1"/>
  <c r="L77" i="17"/>
  <c r="N77" i="17" s="1"/>
  <c r="M105" i="16"/>
  <c r="M105" i="17" s="1"/>
  <c r="Q105" i="17" s="1"/>
  <c r="L104" i="16"/>
  <c r="M123" i="16"/>
  <c r="M123" i="17" s="1"/>
  <c r="L15" i="16"/>
  <c r="M176" i="16"/>
  <c r="M176" i="17" s="1"/>
  <c r="Q176" i="17" s="1"/>
  <c r="L130" i="16"/>
  <c r="M182" i="16"/>
  <c r="M182" i="17" s="1"/>
  <c r="Q182" i="17" s="1"/>
  <c r="L126" i="16"/>
  <c r="L71" i="16"/>
  <c r="M142" i="16"/>
  <c r="M142" i="17" s="1"/>
  <c r="Q142" i="17" s="1"/>
  <c r="M167" i="16"/>
  <c r="M167" i="17" s="1"/>
  <c r="Q167" i="17" s="1"/>
  <c r="M174" i="16"/>
  <c r="M174" i="17" s="1"/>
  <c r="Q174" i="17" s="1"/>
  <c r="M46" i="16"/>
  <c r="M46" i="17" s="1"/>
  <c r="L31" i="2"/>
  <c r="L150" i="2"/>
  <c r="L128" i="2"/>
  <c r="L151" i="8"/>
  <c r="N151" i="8" s="1"/>
  <c r="L33" i="16"/>
  <c r="L101" i="2"/>
  <c r="M90" i="2"/>
  <c r="M90" i="8" s="1"/>
  <c r="Q90" i="8" s="1"/>
  <c r="L177" i="2"/>
  <c r="M4" i="25"/>
  <c r="N4" i="24"/>
  <c r="M4" i="8"/>
  <c r="N4" i="2"/>
  <c r="M4" i="17"/>
  <c r="N4" i="16"/>
  <c r="P10" i="47" l="1"/>
  <c r="H10" i="47" s="1"/>
  <c r="I10" i="47" s="1"/>
  <c r="Q10" i="47"/>
  <c r="P13" i="46"/>
  <c r="H13" i="46" s="1"/>
  <c r="Q28" i="46"/>
  <c r="P30" i="46"/>
  <c r="H30" i="46" s="1"/>
  <c r="G30" i="42"/>
  <c r="J30" i="42" s="1"/>
  <c r="Q13" i="46"/>
  <c r="H30" i="48"/>
  <c r="K30" i="48" s="1"/>
  <c r="P14" i="46"/>
  <c r="H14" i="46" s="1"/>
  <c r="I14" i="46" s="1"/>
  <c r="Q14" i="46"/>
  <c r="Q11" i="46"/>
  <c r="AI27" i="42"/>
  <c r="H15" i="48"/>
  <c r="I15" i="48" s="1"/>
  <c r="H9" i="48"/>
  <c r="K9" i="48" s="1"/>
  <c r="H18" i="48"/>
  <c r="I18" i="48" s="1"/>
  <c r="H20" i="48"/>
  <c r="K20" i="48" s="1"/>
  <c r="H14" i="48"/>
  <c r="I14" i="48" s="1"/>
  <c r="H8" i="48"/>
  <c r="I8" i="48" s="1"/>
  <c r="H27" i="48"/>
  <c r="K27" i="48" s="1"/>
  <c r="H26" i="48"/>
  <c r="I26" i="48" s="1"/>
  <c r="H7" i="48"/>
  <c r="K7" i="48" s="1"/>
  <c r="H19" i="48"/>
  <c r="I19" i="48" s="1"/>
  <c r="H21" i="48"/>
  <c r="I21" i="48" s="1"/>
  <c r="H25" i="48"/>
  <c r="I25" i="48" s="1"/>
  <c r="H10" i="48"/>
  <c r="K10" i="48" s="1"/>
  <c r="H22" i="48"/>
  <c r="K22" i="48" s="1"/>
  <c r="H29" i="48"/>
  <c r="I29" i="48" s="1"/>
  <c r="H11" i="48"/>
  <c r="I11" i="48" s="1"/>
  <c r="H12" i="48"/>
  <c r="I12" i="48" s="1"/>
  <c r="H13" i="48"/>
  <c r="K13" i="48" s="1"/>
  <c r="H16" i="48"/>
  <c r="I16" i="48" s="1"/>
  <c r="H17" i="48"/>
  <c r="K17" i="48" s="1"/>
  <c r="H24" i="48"/>
  <c r="I24" i="48" s="1"/>
  <c r="H23" i="48"/>
  <c r="I23" i="48" s="1"/>
  <c r="H28" i="48"/>
  <c r="I28" i="48" s="1"/>
  <c r="P8" i="46"/>
  <c r="H8" i="46" s="1"/>
  <c r="Q8" i="46"/>
  <c r="P11" i="46"/>
  <c r="H11" i="46" s="1"/>
  <c r="U29" i="42"/>
  <c r="X29" i="42" s="1"/>
  <c r="P20" i="46"/>
  <c r="P31" i="46"/>
  <c r="Q31" i="46"/>
  <c r="G31" i="42"/>
  <c r="P31" i="47"/>
  <c r="P22" i="46"/>
  <c r="Q31" i="47"/>
  <c r="U31" i="42"/>
  <c r="G21" i="42"/>
  <c r="J21" i="42" s="1"/>
  <c r="AI10" i="42"/>
  <c r="AJ10" i="42" s="1"/>
  <c r="Q22" i="46"/>
  <c r="Q31" i="48"/>
  <c r="H31" i="48" s="1"/>
  <c r="AI31" i="42"/>
  <c r="U26" i="42"/>
  <c r="V26" i="42" s="1"/>
  <c r="G24" i="42"/>
  <c r="J24" i="42" s="1"/>
  <c r="P29" i="47"/>
  <c r="U19" i="42"/>
  <c r="X19" i="42" s="1"/>
  <c r="AI18" i="42"/>
  <c r="AL18" i="42" s="1"/>
  <c r="P17" i="46"/>
  <c r="P26" i="47"/>
  <c r="Q17" i="46"/>
  <c r="AI29" i="42"/>
  <c r="AL29" i="42" s="1"/>
  <c r="G29" i="42"/>
  <c r="J29" i="42" s="1"/>
  <c r="G28" i="42"/>
  <c r="J28" i="42" s="1"/>
  <c r="AI28" i="42"/>
  <c r="AJ28" i="42" s="1"/>
  <c r="Q10" i="46"/>
  <c r="P14" i="47"/>
  <c r="P28" i="46"/>
  <c r="H28" i="46" s="1"/>
  <c r="P19" i="47"/>
  <c r="Q26" i="47"/>
  <c r="AI21" i="42"/>
  <c r="AJ21" i="42" s="1"/>
  <c r="Q19" i="47"/>
  <c r="P26" i="46"/>
  <c r="P30" i="47"/>
  <c r="AI30" i="42"/>
  <c r="AJ30" i="42" s="1"/>
  <c r="G8" i="42"/>
  <c r="H8" i="42" s="1"/>
  <c r="P10" i="46"/>
  <c r="Q30" i="47"/>
  <c r="H30" i="47" s="1"/>
  <c r="G11" i="42"/>
  <c r="J11" i="42" s="1"/>
  <c r="G25" i="42"/>
  <c r="H25" i="42" s="1"/>
  <c r="G23" i="42"/>
  <c r="J23" i="42" s="1"/>
  <c r="AI25" i="42"/>
  <c r="AJ25" i="42" s="1"/>
  <c r="U7" i="42"/>
  <c r="X7" i="42" s="1"/>
  <c r="P15" i="46"/>
  <c r="Q14" i="47"/>
  <c r="P16" i="46"/>
  <c r="AI7" i="42"/>
  <c r="AJ7" i="42" s="1"/>
  <c r="U21" i="42"/>
  <c r="V21" i="42" s="1"/>
  <c r="Q15" i="46"/>
  <c r="Q16" i="46"/>
  <c r="U25" i="42"/>
  <c r="V25" i="42" s="1"/>
  <c r="P9" i="47"/>
  <c r="Q144" i="8"/>
  <c r="Q20" i="46"/>
  <c r="G20" i="42"/>
  <c r="J20" i="42" s="1"/>
  <c r="AI26" i="42"/>
  <c r="AL26" i="42" s="1"/>
  <c r="G17" i="42"/>
  <c r="J17" i="42" s="1"/>
  <c r="AI12" i="42"/>
  <c r="AJ12" i="42" s="1"/>
  <c r="Q11" i="47"/>
  <c r="P25" i="46"/>
  <c r="P25" i="47"/>
  <c r="U9" i="42"/>
  <c r="V9" i="42" s="1"/>
  <c r="P27" i="46"/>
  <c r="P7" i="46"/>
  <c r="Q29" i="47"/>
  <c r="Q27" i="46"/>
  <c r="Q28" i="47"/>
  <c r="Q25" i="47"/>
  <c r="Q25" i="46"/>
  <c r="P28" i="47"/>
  <c r="G22" i="42"/>
  <c r="H22" i="42" s="1"/>
  <c r="AI23" i="42"/>
  <c r="AL23" i="42" s="1"/>
  <c r="AI22" i="42"/>
  <c r="AJ22" i="42" s="1"/>
  <c r="P29" i="46"/>
  <c r="P27" i="47"/>
  <c r="AI24" i="42"/>
  <c r="AJ24" i="42" s="1"/>
  <c r="G12" i="42"/>
  <c r="H12" i="42" s="1"/>
  <c r="P11" i="47"/>
  <c r="Q29" i="46"/>
  <c r="Q27" i="47"/>
  <c r="Q24" i="46"/>
  <c r="Q130" i="17"/>
  <c r="P24" i="47"/>
  <c r="P24" i="46"/>
  <c r="Q116" i="17"/>
  <c r="P22" i="47"/>
  <c r="Q123" i="17"/>
  <c r="P23" i="47"/>
  <c r="P21" i="47"/>
  <c r="H21" i="46"/>
  <c r="P23" i="46"/>
  <c r="G7" i="42"/>
  <c r="J7" i="42" s="1"/>
  <c r="Q21" i="47"/>
  <c r="Q23" i="46"/>
  <c r="AI20" i="42"/>
  <c r="AL20" i="42" s="1"/>
  <c r="U16" i="42"/>
  <c r="X16" i="42" s="1"/>
  <c r="AI19" i="42"/>
  <c r="AJ19" i="42" s="1"/>
  <c r="Q7" i="46"/>
  <c r="Q9" i="47"/>
  <c r="Q95" i="8"/>
  <c r="Q19" i="46" s="1"/>
  <c r="P19" i="46"/>
  <c r="P18" i="46"/>
  <c r="Q102" i="17"/>
  <c r="Q20" i="47" s="1"/>
  <c r="P20" i="47"/>
  <c r="Q88" i="17"/>
  <c r="P18" i="47"/>
  <c r="AI17" i="42"/>
  <c r="AL17" i="42" s="1"/>
  <c r="Q18" i="46"/>
  <c r="Q81" i="17"/>
  <c r="P17" i="47"/>
  <c r="U10" i="42"/>
  <c r="X10" i="42" s="1"/>
  <c r="AI14" i="42"/>
  <c r="AL14" i="42" s="1"/>
  <c r="U11" i="42"/>
  <c r="X11" i="42" s="1"/>
  <c r="AI9" i="42"/>
  <c r="AL9" i="42" s="1"/>
  <c r="G14" i="42"/>
  <c r="H14" i="42" s="1"/>
  <c r="G13" i="42"/>
  <c r="H13" i="42" s="1"/>
  <c r="AI8" i="42"/>
  <c r="AJ8" i="42" s="1"/>
  <c r="U15" i="42"/>
  <c r="X15" i="42" s="1"/>
  <c r="G10" i="42"/>
  <c r="J10" i="42" s="1"/>
  <c r="U14" i="42"/>
  <c r="V14" i="42" s="1"/>
  <c r="AI13" i="42"/>
  <c r="AL13" i="42" s="1"/>
  <c r="AI15" i="42"/>
  <c r="AL15" i="42" s="1"/>
  <c r="G16" i="42"/>
  <c r="J16" i="42" s="1"/>
  <c r="G15" i="42"/>
  <c r="J15" i="42" s="1"/>
  <c r="AI11" i="42"/>
  <c r="AL11" i="42" s="1"/>
  <c r="AI16" i="42"/>
  <c r="AL16" i="42" s="1"/>
  <c r="G9" i="42"/>
  <c r="J9" i="42" s="1"/>
  <c r="Q4" i="17"/>
  <c r="Q6" i="47" s="1"/>
  <c r="P6" i="47"/>
  <c r="P16" i="47"/>
  <c r="P9" i="46"/>
  <c r="Q4" i="25"/>
  <c r="Q6" i="48" s="1"/>
  <c r="P6" i="48"/>
  <c r="Q53" i="17"/>
  <c r="P13" i="47"/>
  <c r="Q16" i="47"/>
  <c r="Q9" i="46"/>
  <c r="Q4" i="8"/>
  <c r="Q6" i="46" s="1"/>
  <c r="P6" i="46"/>
  <c r="Q46" i="17"/>
  <c r="P12" i="47"/>
  <c r="Q18" i="17"/>
  <c r="Q8" i="47" s="1"/>
  <c r="P8" i="47"/>
  <c r="P12" i="46"/>
  <c r="P15" i="47"/>
  <c r="P7" i="47"/>
  <c r="Q12" i="46"/>
  <c r="Q15" i="47"/>
  <c r="Q7" i="47"/>
  <c r="U28" i="42"/>
  <c r="V28" i="42" s="1"/>
  <c r="U30" i="42"/>
  <c r="V30" i="42" s="1"/>
  <c r="G18" i="42"/>
  <c r="H18" i="42" s="1"/>
  <c r="U27" i="42"/>
  <c r="V27" i="42" s="1"/>
  <c r="G27" i="42"/>
  <c r="J27" i="42" s="1"/>
  <c r="N5" i="24"/>
  <c r="K4" i="25"/>
  <c r="AJ27" i="42"/>
  <c r="AL27" i="42"/>
  <c r="N5" i="16"/>
  <c r="K4" i="17"/>
  <c r="K4" i="8"/>
  <c r="N5" i="2"/>
  <c r="K26" i="48" l="1"/>
  <c r="K11" i="48"/>
  <c r="H16" i="46"/>
  <c r="I16" i="46" s="1"/>
  <c r="G19" i="42"/>
  <c r="J19" i="42" s="1"/>
  <c r="V19" i="42"/>
  <c r="K15" i="48"/>
  <c r="I17" i="48"/>
  <c r="I22" i="48"/>
  <c r="K14" i="48"/>
  <c r="K18" i="48"/>
  <c r="AL21" i="42"/>
  <c r="I13" i="48"/>
  <c r="K8" i="48"/>
  <c r="K19" i="48"/>
  <c r="K23" i="48"/>
  <c r="I30" i="46"/>
  <c r="K30" i="46"/>
  <c r="H30" i="42"/>
  <c r="I9" i="48"/>
  <c r="I10" i="48"/>
  <c r="I7" i="48"/>
  <c r="K12" i="48"/>
  <c r="AL10" i="42"/>
  <c r="K16" i="48"/>
  <c r="K10" i="47"/>
  <c r="K24" i="48"/>
  <c r="X26" i="42"/>
  <c r="H16" i="47"/>
  <c r="K16" i="47" s="1"/>
  <c r="I20" i="48"/>
  <c r="I30" i="48"/>
  <c r="K25" i="48"/>
  <c r="H21" i="42"/>
  <c r="H23" i="42"/>
  <c r="AL28" i="42"/>
  <c r="H20" i="46"/>
  <c r="K20" i="46" s="1"/>
  <c r="H6" i="47"/>
  <c r="I6" i="47" s="1"/>
  <c r="H26" i="47"/>
  <c r="V29" i="42"/>
  <c r="H7" i="46"/>
  <c r="I7" i="46" s="1"/>
  <c r="H23" i="46"/>
  <c r="K23" i="46" s="1"/>
  <c r="K28" i="48"/>
  <c r="K21" i="48"/>
  <c r="J25" i="42"/>
  <c r="I27" i="48"/>
  <c r="K29" i="48"/>
  <c r="H14" i="47"/>
  <c r="K14" i="47" s="1"/>
  <c r="H28" i="47"/>
  <c r="K28" i="47" s="1"/>
  <c r="H15" i="46"/>
  <c r="I15" i="46" s="1"/>
  <c r="H7" i="47"/>
  <c r="K7" i="47" s="1"/>
  <c r="H12" i="46"/>
  <c r="K12" i="46" s="1"/>
  <c r="H9" i="47"/>
  <c r="K9" i="47" s="1"/>
  <c r="H25" i="46"/>
  <c r="K25" i="46" s="1"/>
  <c r="H29" i="47"/>
  <c r="H22" i="46"/>
  <c r="I22" i="46" s="1"/>
  <c r="H6" i="48"/>
  <c r="M14" i="48" s="1"/>
  <c r="N14" i="48" s="1"/>
  <c r="H17" i="46"/>
  <c r="I17" i="46" s="1"/>
  <c r="H15" i="47"/>
  <c r="I15" i="47" s="1"/>
  <c r="H27" i="47"/>
  <c r="K27" i="47" s="1"/>
  <c r="H27" i="46"/>
  <c r="I27" i="46" s="1"/>
  <c r="H19" i="47"/>
  <c r="K19" i="47" s="1"/>
  <c r="H8" i="47"/>
  <c r="K8" i="47" s="1"/>
  <c r="H25" i="47"/>
  <c r="I25" i="47" s="1"/>
  <c r="H10" i="46"/>
  <c r="K10" i="46" s="1"/>
  <c r="H24" i="46"/>
  <c r="I24" i="46" s="1"/>
  <c r="H6" i="46"/>
  <c r="I6" i="46" s="1"/>
  <c r="H20" i="47"/>
  <c r="I20" i="47" s="1"/>
  <c r="H21" i="47"/>
  <c r="K21" i="47" s="1"/>
  <c r="H11" i="47"/>
  <c r="K11" i="47" s="1"/>
  <c r="H31" i="47"/>
  <c r="H31" i="46"/>
  <c r="H24" i="42"/>
  <c r="H11" i="42"/>
  <c r="AJ9" i="42"/>
  <c r="H29" i="42"/>
  <c r="AL30" i="42"/>
  <c r="H28" i="42"/>
  <c r="J8" i="42"/>
  <c r="AJ26" i="42"/>
  <c r="AL7" i="42"/>
  <c r="X25" i="42"/>
  <c r="AJ31" i="42"/>
  <c r="AL31" i="42"/>
  <c r="J12" i="42"/>
  <c r="H20" i="42"/>
  <c r="X9" i="42"/>
  <c r="M31" i="48"/>
  <c r="N31" i="48" s="1"/>
  <c r="I31" i="48"/>
  <c r="K31" i="48"/>
  <c r="V31" i="42"/>
  <c r="W31" i="42"/>
  <c r="X31" i="42" s="1"/>
  <c r="J31" i="42"/>
  <c r="H31" i="42"/>
  <c r="I31" i="47"/>
  <c r="K31" i="47"/>
  <c r="K31" i="46"/>
  <c r="I31" i="46"/>
  <c r="AL19" i="42"/>
  <c r="H10" i="42"/>
  <c r="AJ18" i="42"/>
  <c r="H15" i="42"/>
  <c r="V10" i="42"/>
  <c r="AL25" i="42"/>
  <c r="J13" i="42"/>
  <c r="X14" i="42"/>
  <c r="AJ29" i="42"/>
  <c r="J22" i="42"/>
  <c r="W30" i="42"/>
  <c r="X30" i="42" s="1"/>
  <c r="K30" i="47"/>
  <c r="I30" i="47"/>
  <c r="M30" i="48"/>
  <c r="N30" i="48" s="1"/>
  <c r="X21" i="42"/>
  <c r="V7" i="42"/>
  <c r="AL24" i="42"/>
  <c r="AJ14" i="42"/>
  <c r="AL8" i="42"/>
  <c r="AJ23" i="42"/>
  <c r="H17" i="42"/>
  <c r="V11" i="42"/>
  <c r="AL22" i="42"/>
  <c r="V16" i="42"/>
  <c r="G6" i="42"/>
  <c r="L23" i="42" s="1"/>
  <c r="M23" i="42" s="1"/>
  <c r="H7" i="42"/>
  <c r="AJ11" i="42"/>
  <c r="AL12" i="42"/>
  <c r="U20" i="42"/>
  <c r="X20" i="42" s="1"/>
  <c r="Q26" i="46"/>
  <c r="H26" i="46" s="1"/>
  <c r="G26" i="42"/>
  <c r="X27" i="42"/>
  <c r="AJ13" i="42"/>
  <c r="AJ20" i="42"/>
  <c r="X28" i="42"/>
  <c r="J18" i="42"/>
  <c r="AJ15" i="42"/>
  <c r="AJ16" i="42"/>
  <c r="M28" i="48"/>
  <c r="N28" i="48" s="1"/>
  <c r="H29" i="46"/>
  <c r="U6" i="42"/>
  <c r="V6" i="42" s="1"/>
  <c r="I28" i="46"/>
  <c r="K28" i="46"/>
  <c r="I29" i="47"/>
  <c r="K29" i="47"/>
  <c r="Q22" i="47"/>
  <c r="H22" i="47" s="1"/>
  <c r="U22" i="42"/>
  <c r="Q23" i="47"/>
  <c r="H23" i="47" s="1"/>
  <c r="U23" i="42"/>
  <c r="I21" i="46"/>
  <c r="K21" i="46"/>
  <c r="U24" i="42"/>
  <c r="Q24" i="47"/>
  <c r="H24" i="47" s="1"/>
  <c r="Q17" i="47"/>
  <c r="H17" i="47" s="1"/>
  <c r="U17" i="42"/>
  <c r="U18" i="42"/>
  <c r="Q18" i="47"/>
  <c r="H18" i="47" s="1"/>
  <c r="H18" i="46"/>
  <c r="V15" i="42"/>
  <c r="AJ17" i="42"/>
  <c r="H19" i="46"/>
  <c r="H16" i="42"/>
  <c r="J14" i="42"/>
  <c r="H9" i="42"/>
  <c r="AI6" i="42"/>
  <c r="AN11" i="42" s="1"/>
  <c r="AO11" i="42" s="1"/>
  <c r="U8" i="42"/>
  <c r="K8" i="46"/>
  <c r="I8" i="46"/>
  <c r="K14" i="46"/>
  <c r="Q12" i="47"/>
  <c r="H12" i="47" s="1"/>
  <c r="U12" i="42"/>
  <c r="K13" i="46"/>
  <c r="I13" i="46"/>
  <c r="K11" i="46"/>
  <c r="I11" i="46"/>
  <c r="Q13" i="47"/>
  <c r="H13" i="47" s="1"/>
  <c r="U13" i="42"/>
  <c r="H9" i="46"/>
  <c r="H19" i="42"/>
  <c r="H27" i="42"/>
  <c r="K5" i="25"/>
  <c r="N6" i="24"/>
  <c r="N6" i="2"/>
  <c r="K5" i="8"/>
  <c r="N6" i="16"/>
  <c r="K5" i="17"/>
  <c r="K6" i="47" l="1"/>
  <c r="I16" i="47"/>
  <c r="M26" i="48"/>
  <c r="N26" i="48" s="1"/>
  <c r="K16" i="46"/>
  <c r="K15" i="47"/>
  <c r="I7" i="47"/>
  <c r="I14" i="47"/>
  <c r="M7" i="47"/>
  <c r="N7" i="47" s="1"/>
  <c r="K6" i="46"/>
  <c r="K20" i="47"/>
  <c r="M11" i="48"/>
  <c r="N11" i="48" s="1"/>
  <c r="M15" i="48"/>
  <c r="N15" i="48" s="1"/>
  <c r="M21" i="48"/>
  <c r="N21" i="48" s="1"/>
  <c r="K22" i="46"/>
  <c r="L17" i="42"/>
  <c r="M17" i="42" s="1"/>
  <c r="L30" i="42"/>
  <c r="M30" i="42" s="1"/>
  <c r="M6" i="47"/>
  <c r="N6" i="47" s="1"/>
  <c r="I21" i="47"/>
  <c r="I28" i="47"/>
  <c r="K27" i="46"/>
  <c r="M27" i="48"/>
  <c r="N27" i="48" s="1"/>
  <c r="L7" i="42"/>
  <c r="M7" i="42" s="1"/>
  <c r="M7" i="48"/>
  <c r="N7" i="48" s="1"/>
  <c r="M17" i="48"/>
  <c r="N17" i="48" s="1"/>
  <c r="M29" i="48"/>
  <c r="N29" i="48" s="1"/>
  <c r="M8" i="47"/>
  <c r="N8" i="47" s="1"/>
  <c r="M7" i="46"/>
  <c r="N7" i="46" s="1"/>
  <c r="M8" i="46"/>
  <c r="N8" i="46" s="1"/>
  <c r="M8" i="48"/>
  <c r="N8" i="48" s="1"/>
  <c r="M16" i="48"/>
  <c r="N16" i="48" s="1"/>
  <c r="M23" i="48"/>
  <c r="N23" i="48" s="1"/>
  <c r="M25" i="48"/>
  <c r="N25" i="48" s="1"/>
  <c r="I9" i="47"/>
  <c r="K7" i="46"/>
  <c r="K6" i="48"/>
  <c r="M10" i="48"/>
  <c r="N10" i="48" s="1"/>
  <c r="M19" i="48"/>
  <c r="N19" i="48" s="1"/>
  <c r="M20" i="48"/>
  <c r="N20" i="48" s="1"/>
  <c r="M22" i="48"/>
  <c r="N22" i="48" s="1"/>
  <c r="I20" i="46"/>
  <c r="I10" i="46"/>
  <c r="I6" i="48"/>
  <c r="M6" i="48"/>
  <c r="N6" i="48" s="1"/>
  <c r="M9" i="48"/>
  <c r="N9" i="48" s="1"/>
  <c r="M13" i="48"/>
  <c r="N13" i="48" s="1"/>
  <c r="M12" i="48"/>
  <c r="N12" i="48" s="1"/>
  <c r="M18" i="48"/>
  <c r="N18" i="48" s="1"/>
  <c r="M24" i="48"/>
  <c r="N24" i="48" s="1"/>
  <c r="I27" i="47"/>
  <c r="K25" i="47"/>
  <c r="I12" i="46"/>
  <c r="I8" i="47"/>
  <c r="M16" i="47"/>
  <c r="N16" i="47" s="1"/>
  <c r="L16" i="42"/>
  <c r="M16" i="42" s="1"/>
  <c r="M12" i="46"/>
  <c r="N12" i="46" s="1"/>
  <c r="M6" i="46"/>
  <c r="N6" i="46" s="1"/>
  <c r="M10" i="47"/>
  <c r="N10" i="47" s="1"/>
  <c r="M9" i="47"/>
  <c r="N9" i="47" s="1"/>
  <c r="K24" i="46"/>
  <c r="L8" i="42"/>
  <c r="M8" i="42" s="1"/>
  <c r="L25" i="42"/>
  <c r="M25" i="42" s="1"/>
  <c r="L26" i="42"/>
  <c r="M26" i="42" s="1"/>
  <c r="M11" i="47"/>
  <c r="N11" i="47" s="1"/>
  <c r="I23" i="46"/>
  <c r="I25" i="46"/>
  <c r="K17" i="46"/>
  <c r="K15" i="46"/>
  <c r="I19" i="47"/>
  <c r="I26" i="47"/>
  <c r="K26" i="47"/>
  <c r="I11" i="47"/>
  <c r="AN30" i="42"/>
  <c r="AO30" i="42" s="1"/>
  <c r="AN25" i="42"/>
  <c r="AO25" i="42" s="1"/>
  <c r="AN29" i="42"/>
  <c r="AO29" i="42" s="1"/>
  <c r="M31" i="47"/>
  <c r="N31" i="47" s="1"/>
  <c r="L20" i="42"/>
  <c r="M20" i="42" s="1"/>
  <c r="L22" i="42"/>
  <c r="M22" i="42" s="1"/>
  <c r="L27" i="42"/>
  <c r="M27" i="42" s="1"/>
  <c r="M31" i="46"/>
  <c r="N31" i="46" s="1"/>
  <c r="Z31" i="42"/>
  <c r="AA31" i="42" s="1"/>
  <c r="L29" i="42"/>
  <c r="M29" i="42" s="1"/>
  <c r="L12" i="42"/>
  <c r="M12" i="42" s="1"/>
  <c r="L28" i="42"/>
  <c r="M28" i="42" s="1"/>
  <c r="L31" i="42"/>
  <c r="M31" i="42" s="1"/>
  <c r="AN31" i="42"/>
  <c r="AO31" i="42" s="1"/>
  <c r="X6" i="42"/>
  <c r="Z30" i="42"/>
  <c r="AA30" i="42" s="1"/>
  <c r="M30" i="47"/>
  <c r="N30" i="47" s="1"/>
  <c r="M30" i="46"/>
  <c r="N30" i="46" s="1"/>
  <c r="Z6" i="42"/>
  <c r="AA6" i="42" s="1"/>
  <c r="Z7" i="42"/>
  <c r="AA7" i="42" s="1"/>
  <c r="L11" i="42"/>
  <c r="M11" i="42" s="1"/>
  <c r="L19" i="42"/>
  <c r="M19" i="42" s="1"/>
  <c r="L6" i="42"/>
  <c r="M6" i="42" s="1"/>
  <c r="L21" i="42"/>
  <c r="M21" i="42" s="1"/>
  <c r="AN24" i="42"/>
  <c r="AO24" i="42" s="1"/>
  <c r="V20" i="42"/>
  <c r="L10" i="42"/>
  <c r="M10" i="42" s="1"/>
  <c r="L13" i="42"/>
  <c r="M13" i="42" s="1"/>
  <c r="L15" i="42"/>
  <c r="M15" i="42" s="1"/>
  <c r="L9" i="42"/>
  <c r="M9" i="42" s="1"/>
  <c r="L18" i="42"/>
  <c r="M18" i="42" s="1"/>
  <c r="H6" i="42"/>
  <c r="J6" i="42"/>
  <c r="L14" i="42"/>
  <c r="M14" i="42" s="1"/>
  <c r="L24" i="42"/>
  <c r="M24" i="42" s="1"/>
  <c r="Z15" i="42"/>
  <c r="AA15" i="42" s="1"/>
  <c r="J26" i="42"/>
  <c r="H26" i="42"/>
  <c r="I26" i="46"/>
  <c r="K26" i="46"/>
  <c r="Z19" i="42"/>
  <c r="AA19" i="42" s="1"/>
  <c r="Z23" i="42"/>
  <c r="AA23" i="42" s="1"/>
  <c r="AN26" i="42"/>
  <c r="AO26" i="42" s="1"/>
  <c r="AN28" i="42"/>
  <c r="AO28" i="42" s="1"/>
  <c r="AN21" i="42"/>
  <c r="AO21" i="42" s="1"/>
  <c r="AN27" i="42"/>
  <c r="AO27" i="42" s="1"/>
  <c r="AN17" i="42"/>
  <c r="AO17" i="42" s="1"/>
  <c r="AN22" i="42"/>
  <c r="AO22" i="42" s="1"/>
  <c r="Z20" i="42"/>
  <c r="AA20" i="42" s="1"/>
  <c r="AN23" i="42"/>
  <c r="AO23" i="42" s="1"/>
  <c r="Z25" i="42"/>
  <c r="AA25" i="42" s="1"/>
  <c r="AN19" i="42"/>
  <c r="AO19" i="42" s="1"/>
  <c r="AN18" i="42"/>
  <c r="AO18" i="42" s="1"/>
  <c r="AN20" i="42"/>
  <c r="AO20" i="42" s="1"/>
  <c r="M26" i="47"/>
  <c r="N26" i="47" s="1"/>
  <c r="Z26" i="42"/>
  <c r="AA26" i="42" s="1"/>
  <c r="M28" i="46"/>
  <c r="N28" i="46" s="1"/>
  <c r="M29" i="46"/>
  <c r="N29" i="46" s="1"/>
  <c r="I29" i="46"/>
  <c r="K29" i="46"/>
  <c r="M28" i="47"/>
  <c r="N28" i="47" s="1"/>
  <c r="M27" i="47"/>
  <c r="N27" i="47" s="1"/>
  <c r="M15" i="47"/>
  <c r="N15" i="47" s="1"/>
  <c r="Z11" i="42"/>
  <c r="AA11" i="42" s="1"/>
  <c r="Z24" i="42"/>
  <c r="AA24" i="42" s="1"/>
  <c r="Z17" i="42"/>
  <c r="AA17" i="42" s="1"/>
  <c r="Z27" i="42"/>
  <c r="AA27" i="42" s="1"/>
  <c r="Z18" i="42"/>
  <c r="AA18" i="42" s="1"/>
  <c r="M25" i="46"/>
  <c r="N25" i="46" s="1"/>
  <c r="M27" i="46"/>
  <c r="N27" i="46" s="1"/>
  <c r="M26" i="46"/>
  <c r="N26" i="46" s="1"/>
  <c r="Z9" i="42"/>
  <c r="AA9" i="42" s="1"/>
  <c r="Z29" i="42"/>
  <c r="AA29" i="42" s="1"/>
  <c r="Z10" i="42"/>
  <c r="AA10" i="42" s="1"/>
  <c r="Z8" i="42"/>
  <c r="AA8" i="42" s="1"/>
  <c r="Z21" i="42"/>
  <c r="AA21" i="42" s="1"/>
  <c r="Z22" i="42"/>
  <c r="AA22" i="42" s="1"/>
  <c r="Z28" i="42"/>
  <c r="AA28" i="42" s="1"/>
  <c r="Z13" i="42"/>
  <c r="AA13" i="42" s="1"/>
  <c r="M29" i="47"/>
  <c r="N29" i="47" s="1"/>
  <c r="M25" i="47"/>
  <c r="N25" i="47" s="1"/>
  <c r="M21" i="47"/>
  <c r="N21" i="47" s="1"/>
  <c r="X24" i="42"/>
  <c r="V24" i="42"/>
  <c r="M21" i="46"/>
  <c r="N21" i="46" s="1"/>
  <c r="M22" i="46"/>
  <c r="N22" i="46" s="1"/>
  <c r="X23" i="42"/>
  <c r="V23" i="42"/>
  <c r="M23" i="46"/>
  <c r="N23" i="46" s="1"/>
  <c r="M23" i="47"/>
  <c r="N23" i="47" s="1"/>
  <c r="K23" i="47"/>
  <c r="I23" i="47"/>
  <c r="X22" i="42"/>
  <c r="V22" i="42"/>
  <c r="M24" i="47"/>
  <c r="N24" i="47" s="1"/>
  <c r="K24" i="47"/>
  <c r="I24" i="47"/>
  <c r="M22" i="47"/>
  <c r="N22" i="47" s="1"/>
  <c r="K22" i="47"/>
  <c r="I22" i="47"/>
  <c r="M24" i="46"/>
  <c r="N24" i="46" s="1"/>
  <c r="M19" i="47"/>
  <c r="N19" i="47" s="1"/>
  <c r="M18" i="47"/>
  <c r="N18" i="47" s="1"/>
  <c r="K18" i="47"/>
  <c r="I18" i="47"/>
  <c r="M17" i="46"/>
  <c r="N17" i="46" s="1"/>
  <c r="M17" i="47"/>
  <c r="N17" i="47" s="1"/>
  <c r="I17" i="47"/>
  <c r="K17" i="47"/>
  <c r="V18" i="42"/>
  <c r="X18" i="42"/>
  <c r="M20" i="46"/>
  <c r="N20" i="46" s="1"/>
  <c r="M20" i="47"/>
  <c r="N20" i="47" s="1"/>
  <c r="M19" i="46"/>
  <c r="N19" i="46" s="1"/>
  <c r="K19" i="46"/>
  <c r="I19" i="46"/>
  <c r="M18" i="46"/>
  <c r="N18" i="46" s="1"/>
  <c r="K18" i="46"/>
  <c r="I18" i="46"/>
  <c r="V17" i="42"/>
  <c r="X17" i="42"/>
  <c r="Z16" i="42"/>
  <c r="AA16" i="42" s="1"/>
  <c r="AN8" i="42"/>
  <c r="AO8" i="42" s="1"/>
  <c r="AN7" i="42"/>
  <c r="AO7" i="42" s="1"/>
  <c r="AN15" i="42"/>
  <c r="AO15" i="42" s="1"/>
  <c r="AL6" i="42"/>
  <c r="AN6" i="42"/>
  <c r="AO6" i="42" s="1"/>
  <c r="AN13" i="42"/>
  <c r="AO13" i="42" s="1"/>
  <c r="Z12" i="42"/>
  <c r="AA12" i="42" s="1"/>
  <c r="AN12" i="42"/>
  <c r="AO12" i="42" s="1"/>
  <c r="AN16" i="42"/>
  <c r="AO16" i="42" s="1"/>
  <c r="AJ6" i="42"/>
  <c r="AN14" i="42"/>
  <c r="AO14" i="42" s="1"/>
  <c r="AN10" i="42"/>
  <c r="AO10" i="42" s="1"/>
  <c r="AN9" i="42"/>
  <c r="AO9" i="42" s="1"/>
  <c r="M13" i="46"/>
  <c r="N13" i="46" s="1"/>
  <c r="M14" i="46"/>
  <c r="N14" i="46" s="1"/>
  <c r="V8" i="42"/>
  <c r="X8" i="42"/>
  <c r="V13" i="42"/>
  <c r="X13" i="42"/>
  <c r="V12" i="42"/>
  <c r="X12" i="42"/>
  <c r="M13" i="47"/>
  <c r="N13" i="47" s="1"/>
  <c r="I13" i="47"/>
  <c r="K13" i="47"/>
  <c r="M11" i="46"/>
  <c r="N11" i="46" s="1"/>
  <c r="M12" i="47"/>
  <c r="N12" i="47" s="1"/>
  <c r="K12" i="47"/>
  <c r="I12" i="47"/>
  <c r="Z14" i="42"/>
  <c r="AA14" i="42" s="1"/>
  <c r="M15" i="46"/>
  <c r="N15" i="46" s="1"/>
  <c r="M16" i="46"/>
  <c r="N16" i="46" s="1"/>
  <c r="I9" i="46"/>
  <c r="K9" i="46"/>
  <c r="M9" i="46"/>
  <c r="N9" i="46" s="1"/>
  <c r="M14" i="47"/>
  <c r="N14" i="47" s="1"/>
  <c r="M10" i="46"/>
  <c r="N10" i="46" s="1"/>
  <c r="K6" i="25"/>
  <c r="N7" i="24"/>
  <c r="K6" i="17"/>
  <c r="N7" i="16"/>
  <c r="N7" i="2"/>
  <c r="K6" i="8"/>
  <c r="N8" i="24" l="1"/>
  <c r="K7" i="25"/>
  <c r="N8" i="2"/>
  <c r="K7" i="8"/>
  <c r="N8" i="16"/>
  <c r="K7" i="17"/>
  <c r="N9" i="24" l="1"/>
  <c r="K8" i="25"/>
  <c r="K8" i="17"/>
  <c r="N9" i="16"/>
  <c r="N9" i="2"/>
  <c r="K8" i="8"/>
  <c r="N10" i="24" l="1"/>
  <c r="K9" i="25"/>
  <c r="K9" i="8"/>
  <c r="N10" i="2"/>
  <c r="K9" i="17"/>
  <c r="N10" i="16"/>
  <c r="N11" i="24" l="1"/>
  <c r="K10" i="25"/>
  <c r="K10" i="17"/>
  <c r="N11" i="16"/>
  <c r="N11" i="2"/>
  <c r="K10" i="8"/>
  <c r="N12" i="24" l="1"/>
  <c r="K11" i="25"/>
  <c r="K11" i="8"/>
  <c r="N12" i="2"/>
  <c r="K11" i="17"/>
  <c r="N12" i="16"/>
  <c r="N13" i="24" l="1"/>
  <c r="K12" i="25"/>
  <c r="N13" i="16"/>
  <c r="K12" i="17"/>
  <c r="K12" i="8"/>
  <c r="N13" i="2"/>
  <c r="N14" i="24" l="1"/>
  <c r="K13" i="25"/>
  <c r="N14" i="2"/>
  <c r="K13" i="8"/>
  <c r="K13" i="17"/>
  <c r="N14" i="16"/>
  <c r="K14" i="25" l="1"/>
  <c r="N15" i="24"/>
  <c r="K14" i="17"/>
  <c r="N15" i="16"/>
  <c r="K14" i="8"/>
  <c r="N15" i="2"/>
  <c r="K15" i="25" l="1"/>
  <c r="N16" i="24"/>
  <c r="K15" i="8"/>
  <c r="N16" i="2"/>
  <c r="K15" i="17"/>
  <c r="N16" i="16"/>
  <c r="K16" i="25" l="1"/>
  <c r="N17" i="24"/>
  <c r="N17" i="16"/>
  <c r="K16" i="17"/>
  <c r="K16" i="8"/>
  <c r="N17" i="2"/>
  <c r="N18" i="24" l="1"/>
  <c r="K17" i="25"/>
  <c r="N18" i="2"/>
  <c r="K17" i="8"/>
  <c r="N18" i="16"/>
  <c r="K17" i="17"/>
  <c r="K18" i="25" l="1"/>
  <c r="N19" i="24"/>
  <c r="N19" i="16"/>
  <c r="K18" i="17"/>
  <c r="N19" i="2"/>
  <c r="K18" i="8"/>
  <c r="K19" i="25" l="1"/>
  <c r="N20" i="24"/>
  <c r="N20" i="2"/>
  <c r="K19" i="8"/>
  <c r="K19" i="17"/>
  <c r="N20" i="16"/>
  <c r="K20" i="25" l="1"/>
  <c r="N21" i="24"/>
  <c r="K20" i="17"/>
  <c r="N21" i="16"/>
  <c r="K20" i="8"/>
  <c r="N21" i="2"/>
  <c r="K21" i="25" l="1"/>
  <c r="N22" i="24"/>
  <c r="K21" i="8"/>
  <c r="N22" i="2"/>
  <c r="N22" i="16"/>
  <c r="K21" i="17"/>
  <c r="K22" i="25" l="1"/>
  <c r="N23" i="24"/>
  <c r="K22" i="17"/>
  <c r="N23" i="16"/>
  <c r="K22" i="8"/>
  <c r="N23" i="2"/>
  <c r="N24" i="24" l="1"/>
  <c r="K23" i="25"/>
  <c r="N24" i="2"/>
  <c r="K23" i="8"/>
  <c r="N24" i="16"/>
  <c r="K23" i="17"/>
  <c r="K24" i="25" l="1"/>
  <c r="N25" i="24"/>
  <c r="N25" i="16"/>
  <c r="K24" i="17"/>
  <c r="N25" i="2"/>
  <c r="K24" i="8"/>
  <c r="K25" i="25" l="1"/>
  <c r="N26" i="24"/>
  <c r="K25" i="8"/>
  <c r="N26" i="2"/>
  <c r="K25" i="17"/>
  <c r="N26" i="16"/>
  <c r="K26" i="25" l="1"/>
  <c r="N27" i="24"/>
  <c r="N27" i="16"/>
  <c r="K26" i="17"/>
  <c r="K26" i="8"/>
  <c r="N27" i="2"/>
  <c r="K27" i="25" l="1"/>
  <c r="N28" i="24"/>
  <c r="K27" i="8"/>
  <c r="N28" i="2"/>
  <c r="K27" i="17"/>
  <c r="N28" i="16"/>
  <c r="K28" i="25" l="1"/>
  <c r="N29" i="24"/>
  <c r="K28" i="17"/>
  <c r="N29" i="16"/>
  <c r="K28" i="8"/>
  <c r="N29" i="2"/>
  <c r="N30" i="24" l="1"/>
  <c r="K29" i="25"/>
  <c r="K29" i="8"/>
  <c r="N30" i="2"/>
  <c r="K29" i="17"/>
  <c r="N30" i="16"/>
  <c r="N31" i="24" l="1"/>
  <c r="K30" i="25"/>
  <c r="K30" i="17"/>
  <c r="N31" i="16"/>
  <c r="K30" i="8"/>
  <c r="N31" i="2"/>
  <c r="K31" i="25" l="1"/>
  <c r="N32" i="24"/>
  <c r="K31" i="8"/>
  <c r="N32" i="2"/>
  <c r="K31" i="17"/>
  <c r="N32" i="16"/>
  <c r="K32" i="25" l="1"/>
  <c r="N33" i="24"/>
  <c r="K32" i="17"/>
  <c r="N33" i="16"/>
  <c r="N33" i="2"/>
  <c r="K32" i="8"/>
  <c r="N34" i="24" l="1"/>
  <c r="K33" i="25"/>
  <c r="N34" i="2"/>
  <c r="K33" i="8"/>
  <c r="K33" i="17"/>
  <c r="N34" i="16"/>
  <c r="K34" i="25" l="1"/>
  <c r="N35" i="24"/>
  <c r="K34" i="17"/>
  <c r="N35" i="16"/>
  <c r="N35" i="2"/>
  <c r="K34" i="8"/>
  <c r="N36" i="24" l="1"/>
  <c r="K35" i="25"/>
  <c r="K35" i="8"/>
  <c r="N36" i="2"/>
  <c r="K35" i="17"/>
  <c r="N36" i="16"/>
  <c r="N37" i="24" l="1"/>
  <c r="K36" i="25"/>
  <c r="K36" i="17"/>
  <c r="N37" i="16"/>
  <c r="K36" i="8"/>
  <c r="N37" i="2"/>
  <c r="K37" i="25" l="1"/>
  <c r="N38" i="24"/>
  <c r="K37" i="8"/>
  <c r="N38" i="2"/>
  <c r="N38" i="16"/>
  <c r="K37" i="17"/>
  <c r="K38" i="25" l="1"/>
  <c r="N39" i="24"/>
  <c r="N39" i="16"/>
  <c r="K38" i="17"/>
  <c r="N39" i="2"/>
  <c r="K38" i="8"/>
  <c r="K39" i="25" l="1"/>
  <c r="N40" i="24"/>
  <c r="K39" i="8"/>
  <c r="N40" i="2"/>
  <c r="K39" i="17"/>
  <c r="N40" i="16"/>
  <c r="N41" i="24" l="1"/>
  <c r="K40" i="25"/>
  <c r="K40" i="17"/>
  <c r="N41" i="16"/>
  <c r="N41" i="2"/>
  <c r="K40" i="8"/>
  <c r="K41" i="25" l="1"/>
  <c r="N42" i="24"/>
  <c r="K41" i="8"/>
  <c r="N42" i="2"/>
  <c r="N42" i="16"/>
  <c r="K41" i="17"/>
  <c r="N43" i="24" l="1"/>
  <c r="K42" i="25"/>
  <c r="K42" i="17"/>
  <c r="N43" i="16"/>
  <c r="K42" i="8"/>
  <c r="N43" i="2"/>
  <c r="N44" i="24" l="1"/>
  <c r="K43" i="25"/>
  <c r="K43" i="8"/>
  <c r="N44" i="2"/>
  <c r="N44" i="16"/>
  <c r="K43" i="17"/>
  <c r="N45" i="24" l="1"/>
  <c r="K44" i="25"/>
  <c r="N45" i="16"/>
  <c r="K44" i="17"/>
  <c r="K44" i="8"/>
  <c r="N45" i="2"/>
  <c r="K45" i="25" l="1"/>
  <c r="N46" i="24"/>
  <c r="K45" i="8"/>
  <c r="N46" i="2"/>
  <c r="N46" i="16"/>
  <c r="K45" i="17"/>
  <c r="K46" i="25" l="1"/>
  <c r="N47" i="24"/>
  <c r="N47" i="16"/>
  <c r="K46" i="17"/>
  <c r="K46" i="8"/>
  <c r="N47" i="2"/>
  <c r="N48" i="24" l="1"/>
  <c r="K47" i="25"/>
  <c r="K47" i="8"/>
  <c r="N48" i="2"/>
  <c r="N48" i="16"/>
  <c r="K47" i="17"/>
  <c r="N49" i="24" l="1"/>
  <c r="K48" i="25"/>
  <c r="N49" i="16"/>
  <c r="K48" i="17"/>
  <c r="N49" i="2"/>
  <c r="K48" i="8"/>
  <c r="K49" i="25" l="1"/>
  <c r="N50" i="24"/>
  <c r="N50" i="2"/>
  <c r="K49" i="8"/>
  <c r="N50" i="16"/>
  <c r="K49" i="17"/>
  <c r="N51" i="24" l="1"/>
  <c r="K50" i="25"/>
  <c r="N51" i="16"/>
  <c r="K50" i="17"/>
  <c r="K50" i="8"/>
  <c r="N51" i="2"/>
  <c r="N52" i="24" l="1"/>
  <c r="K51" i="25"/>
  <c r="K51" i="8"/>
  <c r="N52" i="2"/>
  <c r="K51" i="17"/>
  <c r="N52" i="16"/>
  <c r="K52" i="25" l="1"/>
  <c r="N53" i="24"/>
  <c r="N53" i="16"/>
  <c r="K52" i="17"/>
  <c r="N53" i="2"/>
  <c r="K52" i="8"/>
  <c r="N54" i="24" l="1"/>
  <c r="K53" i="25"/>
  <c r="K53" i="8"/>
  <c r="N54" i="2"/>
  <c r="N54" i="16"/>
  <c r="K53" i="17"/>
  <c r="N55" i="24" l="1"/>
  <c r="K54" i="25"/>
  <c r="N55" i="16"/>
  <c r="K54" i="17"/>
  <c r="K54" i="8"/>
  <c r="N55" i="2"/>
  <c r="N56" i="24" l="1"/>
  <c r="K55" i="25"/>
  <c r="K55" i="8"/>
  <c r="N56" i="2"/>
  <c r="K55" i="17"/>
  <c r="N56" i="16"/>
  <c r="K56" i="25" l="1"/>
  <c r="N57" i="24"/>
  <c r="K56" i="17"/>
  <c r="N57" i="16"/>
  <c r="N57" i="2"/>
  <c r="K56" i="8"/>
  <c r="K57" i="25" l="1"/>
  <c r="N58" i="24"/>
  <c r="K57" i="8"/>
  <c r="N58" i="2"/>
  <c r="N58" i="16"/>
  <c r="K57" i="17"/>
  <c r="N59" i="24" l="1"/>
  <c r="K58" i="25"/>
  <c r="N59" i="16"/>
  <c r="K58" i="17"/>
  <c r="K58" i="8"/>
  <c r="N59" i="2"/>
  <c r="K59" i="25" l="1"/>
  <c r="N60" i="24"/>
  <c r="K59" i="8"/>
  <c r="N60" i="2"/>
  <c r="K59" i="17"/>
  <c r="N60" i="16"/>
  <c r="N61" i="24" l="1"/>
  <c r="K60" i="25"/>
  <c r="K60" i="8"/>
  <c r="N61" i="2"/>
  <c r="K60" i="17"/>
  <c r="N61" i="16"/>
  <c r="N62" i="24" l="1"/>
  <c r="K61" i="25"/>
  <c r="N62" i="16"/>
  <c r="K61" i="17"/>
  <c r="N62" i="2"/>
  <c r="K61" i="8"/>
  <c r="K62" i="25" l="1"/>
  <c r="N63" i="24"/>
  <c r="K62" i="8"/>
  <c r="N63" i="2"/>
  <c r="N63" i="16"/>
  <c r="K62" i="17"/>
  <c r="N64" i="24" l="1"/>
  <c r="K63" i="25"/>
  <c r="K63" i="8"/>
  <c r="N64" i="2"/>
  <c r="N64" i="16"/>
  <c r="K63" i="17"/>
  <c r="N65" i="24" l="1"/>
  <c r="K64" i="25"/>
  <c r="K64" i="17"/>
  <c r="N65" i="16"/>
  <c r="N65" i="2"/>
  <c r="K64" i="8"/>
  <c r="K65" i="25" l="1"/>
  <c r="N66" i="24"/>
  <c r="N66" i="16"/>
  <c r="K65" i="17"/>
  <c r="N66" i="2"/>
  <c r="K65" i="8"/>
  <c r="N67" i="24" l="1"/>
  <c r="K66" i="25"/>
  <c r="N67" i="2"/>
  <c r="K66" i="8"/>
  <c r="K66" i="17"/>
  <c r="N67" i="16"/>
  <c r="K67" i="25" l="1"/>
  <c r="N68" i="24"/>
  <c r="K67" i="17"/>
  <c r="N68" i="16"/>
  <c r="N68" i="2"/>
  <c r="K67" i="8"/>
  <c r="K68" i="25" l="1"/>
  <c r="N69" i="24"/>
  <c r="K68" i="17"/>
  <c r="N69" i="16"/>
  <c r="K68" i="8"/>
  <c r="N69" i="2"/>
  <c r="N70" i="24" l="1"/>
  <c r="K69" i="25"/>
  <c r="K69" i="17"/>
  <c r="N70" i="16"/>
  <c r="N70" i="2"/>
  <c r="K69" i="8"/>
  <c r="N71" i="24" l="1"/>
  <c r="K70" i="25"/>
  <c r="N71" i="16"/>
  <c r="K70" i="17"/>
  <c r="K70" i="8"/>
  <c r="N71" i="2"/>
  <c r="N72" i="24" l="1"/>
  <c r="K71" i="25"/>
  <c r="N72" i="2"/>
  <c r="K71" i="8"/>
  <c r="N72" i="16"/>
  <c r="K71" i="17"/>
  <c r="N73" i="24" l="1"/>
  <c r="K72" i="25"/>
  <c r="N73" i="16"/>
  <c r="K72" i="17"/>
  <c r="N73" i="2"/>
  <c r="K72" i="8"/>
  <c r="N74" i="24" l="1"/>
  <c r="K73" i="25"/>
  <c r="N74" i="2"/>
  <c r="K73" i="8"/>
  <c r="K73" i="17"/>
  <c r="N74" i="16"/>
  <c r="K74" i="25" l="1"/>
  <c r="N75" i="24"/>
  <c r="N75" i="16"/>
  <c r="K74" i="17"/>
  <c r="N75" i="2"/>
  <c r="K74" i="8"/>
  <c r="K75" i="25" l="1"/>
  <c r="N76" i="24"/>
  <c r="N76" i="2"/>
  <c r="K75" i="8"/>
  <c r="K75" i="17"/>
  <c r="N76" i="16"/>
  <c r="N77" i="24" l="1"/>
  <c r="K76" i="25"/>
  <c r="N77" i="16"/>
  <c r="K76" i="17"/>
  <c r="N77" i="2"/>
  <c r="K76" i="8"/>
  <c r="K77" i="25" l="1"/>
  <c r="N78" i="24"/>
  <c r="K77" i="8"/>
  <c r="N78" i="2"/>
  <c r="K77" i="17"/>
  <c r="N78" i="16"/>
  <c r="N79" i="24" l="1"/>
  <c r="K78" i="25"/>
  <c r="K78" i="17"/>
  <c r="N79" i="16"/>
  <c r="N79" i="2"/>
  <c r="K78" i="8"/>
  <c r="K79" i="25" l="1"/>
  <c r="N80" i="24"/>
  <c r="N80" i="2"/>
  <c r="K79" i="8"/>
  <c r="N80" i="16"/>
  <c r="K79" i="17"/>
  <c r="N81" i="24" l="1"/>
  <c r="K80" i="25"/>
  <c r="K80" i="17"/>
  <c r="N81" i="16"/>
  <c r="K80" i="8"/>
  <c r="N81" i="2"/>
  <c r="N82" i="24" l="1"/>
  <c r="K81" i="25"/>
  <c r="K81" i="8"/>
  <c r="N82" i="2"/>
  <c r="K81" i="17"/>
  <c r="N82" i="16"/>
  <c r="N83" i="24" l="1"/>
  <c r="K82" i="25"/>
  <c r="N83" i="16"/>
  <c r="K82" i="17"/>
  <c r="K82" i="8"/>
  <c r="N83" i="2"/>
  <c r="K83" i="25" l="1"/>
  <c r="N84" i="24"/>
  <c r="N84" i="2"/>
  <c r="K83" i="8"/>
  <c r="N84" i="16"/>
  <c r="K83" i="17"/>
  <c r="N85" i="24" l="1"/>
  <c r="K84" i="25"/>
  <c r="N85" i="16"/>
  <c r="K84" i="17"/>
  <c r="N85" i="2"/>
  <c r="K84" i="8"/>
  <c r="N86" i="24" l="1"/>
  <c r="K85" i="25"/>
  <c r="N86" i="2"/>
  <c r="K85" i="8"/>
  <c r="N86" i="16"/>
  <c r="K85" i="17"/>
  <c r="K86" i="25" l="1"/>
  <c r="N87" i="24"/>
  <c r="N87" i="16"/>
  <c r="K86" i="17"/>
  <c r="N87" i="2"/>
  <c r="K86" i="8"/>
  <c r="N88" i="24" l="1"/>
  <c r="K87" i="25"/>
  <c r="K87" i="8"/>
  <c r="N88" i="2"/>
  <c r="K87" i="17"/>
  <c r="N88" i="16"/>
  <c r="N89" i="24" l="1"/>
  <c r="K88" i="25"/>
  <c r="N89" i="16"/>
  <c r="K88" i="17"/>
  <c r="N89" i="2"/>
  <c r="K88" i="8"/>
  <c r="N90" i="24" l="1"/>
  <c r="K89" i="25"/>
  <c r="N90" i="2"/>
  <c r="K89" i="8"/>
  <c r="N90" i="16"/>
  <c r="K89" i="17"/>
  <c r="K90" i="25" l="1"/>
  <c r="N91" i="24"/>
  <c r="N91" i="16"/>
  <c r="K90" i="17"/>
  <c r="K90" i="8"/>
  <c r="N91" i="2"/>
  <c r="K91" i="25" l="1"/>
  <c r="N92" i="24"/>
  <c r="N92" i="2"/>
  <c r="K91" i="8"/>
  <c r="N92" i="16"/>
  <c r="K91" i="17"/>
  <c r="N93" i="24" l="1"/>
  <c r="K92" i="25"/>
  <c r="K92" i="17"/>
  <c r="N93" i="16"/>
  <c r="N93" i="2"/>
  <c r="K92" i="8"/>
  <c r="K93" i="25" l="1"/>
  <c r="N94" i="24"/>
  <c r="N94" i="16"/>
  <c r="K93" i="17"/>
  <c r="N94" i="2"/>
  <c r="K93" i="8"/>
  <c r="N95" i="24" l="1"/>
  <c r="K94" i="25"/>
  <c r="N95" i="2"/>
  <c r="K94" i="8"/>
  <c r="K94" i="17"/>
  <c r="N95" i="16"/>
  <c r="N96" i="24" l="1"/>
  <c r="K95" i="25"/>
  <c r="N96" i="16"/>
  <c r="K95" i="17"/>
  <c r="K95" i="8"/>
  <c r="N96" i="2"/>
  <c r="N97" i="24" l="1"/>
  <c r="K96" i="25"/>
  <c r="N97" i="2"/>
  <c r="K96" i="8"/>
  <c r="K96" i="17"/>
  <c r="N97" i="16"/>
  <c r="N98" i="24" l="1"/>
  <c r="K97" i="25"/>
  <c r="K97" i="17"/>
  <c r="N98" i="16"/>
  <c r="N98" i="2"/>
  <c r="K97" i="8"/>
  <c r="N99" i="24" l="1"/>
  <c r="K98" i="25"/>
  <c r="K98" i="8"/>
  <c r="N99" i="2"/>
  <c r="K98" i="17"/>
  <c r="N99" i="16"/>
  <c r="K99" i="25" l="1"/>
  <c r="N100" i="24"/>
  <c r="K99" i="8"/>
  <c r="N100" i="2"/>
  <c r="N100" i="16"/>
  <c r="K99" i="17"/>
  <c r="K100" i="25" l="1"/>
  <c r="N101" i="24"/>
  <c r="N101" i="16"/>
  <c r="K100" i="17"/>
  <c r="K100" i="8"/>
  <c r="N101" i="2"/>
  <c r="N102" i="24" l="1"/>
  <c r="K101" i="25"/>
  <c r="K101" i="8"/>
  <c r="N102" i="2"/>
  <c r="K101" i="17"/>
  <c r="N102" i="16"/>
  <c r="N103" i="24" l="1"/>
  <c r="K102" i="25"/>
  <c r="K102" i="17"/>
  <c r="N103" i="16"/>
  <c r="K102" i="8"/>
  <c r="N103" i="2"/>
  <c r="N104" i="24" l="1"/>
  <c r="K103" i="25"/>
  <c r="K103" i="8"/>
  <c r="N104" i="2"/>
  <c r="N104" i="16"/>
  <c r="K103" i="17"/>
  <c r="K104" i="25" l="1"/>
  <c r="N105" i="24"/>
  <c r="N105" i="16"/>
  <c r="K104" i="17"/>
  <c r="K104" i="8"/>
  <c r="N105" i="2"/>
  <c r="K105" i="25" l="1"/>
  <c r="N106" i="24"/>
  <c r="N106" i="2"/>
  <c r="K105" i="8"/>
  <c r="N106" i="16"/>
  <c r="K105" i="17"/>
  <c r="N107" i="24" l="1"/>
  <c r="K106" i="25"/>
  <c r="K106" i="17"/>
  <c r="N107" i="16"/>
  <c r="N107" i="2"/>
  <c r="K106" i="8"/>
  <c r="K107" i="25" l="1"/>
  <c r="N108" i="24"/>
  <c r="N108" i="16"/>
  <c r="K107" i="17"/>
  <c r="K107" i="8"/>
  <c r="N108" i="2"/>
  <c r="K108" i="25" l="1"/>
  <c r="N109" i="24"/>
  <c r="N109" i="2"/>
  <c r="K108" i="8"/>
  <c r="N109" i="16"/>
  <c r="K108" i="17"/>
  <c r="K109" i="25" l="1"/>
  <c r="N110" i="24"/>
  <c r="N110" i="16"/>
  <c r="K109" i="17"/>
  <c r="N110" i="2"/>
  <c r="K109" i="8"/>
  <c r="N111" i="24" l="1"/>
  <c r="K110" i="25"/>
  <c r="K110" i="8"/>
  <c r="N111" i="2"/>
  <c r="N111" i="16"/>
  <c r="K110" i="17"/>
  <c r="K111" i="25" l="1"/>
  <c r="N112" i="24"/>
  <c r="N112" i="2"/>
  <c r="K111" i="8"/>
  <c r="N112" i="16"/>
  <c r="K111" i="17"/>
  <c r="K112" i="25" l="1"/>
  <c r="N113" i="24"/>
  <c r="N113" i="16"/>
  <c r="K112" i="17"/>
  <c r="K112" i="8"/>
  <c r="N113" i="2"/>
  <c r="N114" i="24" l="1"/>
  <c r="K113" i="25"/>
  <c r="K113" i="8"/>
  <c r="N114" i="2"/>
  <c r="K113" i="17"/>
  <c r="N114" i="16"/>
  <c r="K114" i="25" l="1"/>
  <c r="N115" i="24"/>
  <c r="K114" i="8"/>
  <c r="N115" i="2"/>
  <c r="N115" i="16"/>
  <c r="K114" i="17"/>
  <c r="K115" i="25" l="1"/>
  <c r="N116" i="24"/>
  <c r="K115" i="17"/>
  <c r="N116" i="16"/>
  <c r="N116" i="2"/>
  <c r="K115" i="8"/>
  <c r="K116" i="25" l="1"/>
  <c r="N117" i="24"/>
  <c r="N117" i="2"/>
  <c r="K116" i="8"/>
  <c r="N117" i="16"/>
  <c r="K116" i="17"/>
  <c r="K117" i="25" l="1"/>
  <c r="N118" i="24"/>
  <c r="K117" i="17"/>
  <c r="N118" i="16"/>
  <c r="K117" i="8"/>
  <c r="N118" i="2"/>
  <c r="N119" i="24" l="1"/>
  <c r="K118" i="25"/>
  <c r="K118" i="8"/>
  <c r="N119" i="2"/>
  <c r="N119" i="16"/>
  <c r="K118" i="17"/>
  <c r="K119" i="25" l="1"/>
  <c r="N120" i="24"/>
  <c r="N120" i="2"/>
  <c r="K119" i="8"/>
  <c r="K119" i="17"/>
  <c r="N120" i="16"/>
  <c r="N121" i="24" l="1"/>
  <c r="K120" i="25"/>
  <c r="N121" i="16"/>
  <c r="K120" i="17"/>
  <c r="K120" i="8"/>
  <c r="N121" i="2"/>
  <c r="N122" i="24" l="1"/>
  <c r="K121" i="25"/>
  <c r="K121" i="8"/>
  <c r="N122" i="2"/>
  <c r="K121" i="17"/>
  <c r="N122" i="16"/>
  <c r="N123" i="24" l="1"/>
  <c r="K122" i="25"/>
  <c r="N123" i="2"/>
  <c r="K122" i="8"/>
  <c r="N123" i="16"/>
  <c r="K122" i="17"/>
  <c r="N124" i="24" l="1"/>
  <c r="K123" i="25"/>
  <c r="N124" i="16"/>
  <c r="K123" i="17"/>
  <c r="N124" i="2"/>
  <c r="K123" i="8"/>
  <c r="C7" i="22"/>
  <c r="C5" i="22" s="1"/>
  <c r="C44" i="26" s="1"/>
  <c r="D6" i="22"/>
  <c r="N125" i="24" l="1"/>
  <c r="K124" i="25"/>
  <c r="N125" i="2"/>
  <c r="K124" i="8"/>
  <c r="K124" i="17"/>
  <c r="N125" i="16"/>
  <c r="N126" i="24" l="1"/>
  <c r="K125" i="25"/>
  <c r="K125" i="17"/>
  <c r="N126" i="16"/>
  <c r="K125" i="8"/>
  <c r="N126" i="2"/>
  <c r="K126" i="25" l="1"/>
  <c r="N127" i="24"/>
  <c r="N127" i="2"/>
  <c r="K126" i="8"/>
  <c r="N127" i="16"/>
  <c r="K126" i="17"/>
  <c r="N128" i="24" l="1"/>
  <c r="K127" i="25"/>
  <c r="N128" i="16"/>
  <c r="K127" i="17"/>
  <c r="N128" i="2"/>
  <c r="K127" i="8"/>
  <c r="K128" i="25" l="1"/>
  <c r="N129" i="24"/>
  <c r="K128" i="8"/>
  <c r="N129" i="2"/>
  <c r="K128" i="17"/>
  <c r="N129" i="16"/>
  <c r="N130" i="24" l="1"/>
  <c r="K129" i="25"/>
  <c r="K129" i="8"/>
  <c r="N130" i="2"/>
  <c r="K129" i="17"/>
  <c r="N130" i="16"/>
  <c r="K130" i="25" l="1"/>
  <c r="N131" i="24"/>
  <c r="N131" i="2"/>
  <c r="K130" i="8"/>
  <c r="K130" i="17"/>
  <c r="N131" i="16"/>
  <c r="K131" i="25" l="1"/>
  <c r="N132" i="24"/>
  <c r="K131" i="17"/>
  <c r="N132" i="16"/>
  <c r="N132" i="2"/>
  <c r="K131" i="8"/>
  <c r="K132" i="25" l="1"/>
  <c r="N133" i="24"/>
  <c r="K132" i="17"/>
  <c r="N133" i="16"/>
  <c r="K132" i="8"/>
  <c r="N133" i="2"/>
  <c r="K133" i="25" l="1"/>
  <c r="N134" i="24"/>
  <c r="K133" i="8"/>
  <c r="N134" i="2"/>
  <c r="N134" i="16"/>
  <c r="K133" i="17"/>
  <c r="N135" i="24" l="1"/>
  <c r="K134" i="25"/>
  <c r="N135" i="16"/>
  <c r="K134" i="17"/>
  <c r="N135" i="2"/>
  <c r="K134" i="8"/>
  <c r="K135" i="25" l="1"/>
  <c r="N136" i="24"/>
  <c r="K135" i="8"/>
  <c r="N136" i="2"/>
  <c r="K135" i="17"/>
  <c r="N136" i="16"/>
  <c r="N137" i="24" l="1"/>
  <c r="K136" i="25"/>
  <c r="K136" i="17"/>
  <c r="N137" i="16"/>
  <c r="N137" i="2"/>
  <c r="K136" i="8"/>
  <c r="K137" i="25" l="1"/>
  <c r="N138" i="24"/>
  <c r="K137" i="8"/>
  <c r="N138" i="2"/>
  <c r="N138" i="16"/>
  <c r="K137" i="17"/>
  <c r="N139" i="24" l="1"/>
  <c r="K138" i="25"/>
  <c r="N139" i="16"/>
  <c r="K138" i="17"/>
  <c r="N139" i="2"/>
  <c r="K138" i="8"/>
  <c r="K139" i="25" l="1"/>
  <c r="N140" i="24"/>
  <c r="N140" i="2"/>
  <c r="K139" i="8"/>
  <c r="N140" i="16"/>
  <c r="K139" i="17"/>
  <c r="K140" i="25" l="1"/>
  <c r="N141" i="24"/>
  <c r="N141" i="16"/>
  <c r="K140" i="17"/>
  <c r="K140" i="8"/>
  <c r="N141" i="2"/>
  <c r="N142" i="24" l="1"/>
  <c r="K141" i="25"/>
  <c r="K141" i="8"/>
  <c r="N142" i="2"/>
  <c r="N142" i="16"/>
  <c r="K141" i="17"/>
  <c r="N143" i="24" l="1"/>
  <c r="K142" i="25"/>
  <c r="N143" i="16"/>
  <c r="K142" i="17"/>
  <c r="K142" i="8"/>
  <c r="N143" i="2"/>
  <c r="N144" i="24" l="1"/>
  <c r="K143" i="25"/>
  <c r="N144" i="2"/>
  <c r="K143" i="8"/>
  <c r="N144" i="16"/>
  <c r="K143" i="17"/>
  <c r="N145" i="24" l="1"/>
  <c r="K144" i="25"/>
  <c r="K144" i="17"/>
  <c r="N145" i="16"/>
  <c r="N145" i="2"/>
  <c r="K144" i="8"/>
  <c r="K145" i="25" l="1"/>
  <c r="N146" i="24"/>
  <c r="K145" i="8"/>
  <c r="N146" i="2"/>
  <c r="K145" i="17"/>
  <c r="N146" i="16"/>
  <c r="N147" i="24" l="1"/>
  <c r="K146" i="25"/>
  <c r="N147" i="16"/>
  <c r="K146" i="17"/>
  <c r="N147" i="2"/>
  <c r="K146" i="8"/>
  <c r="K147" i="25" l="1"/>
  <c r="N148" i="24"/>
  <c r="N148" i="2"/>
  <c r="K147" i="8"/>
  <c r="K147" i="17"/>
  <c r="N148" i="16"/>
  <c r="N149" i="24" l="1"/>
  <c r="K148" i="25"/>
  <c r="N149" i="16"/>
  <c r="K148" i="17"/>
  <c r="N149" i="2"/>
  <c r="K148" i="8"/>
  <c r="K149" i="25" l="1"/>
  <c r="N150" i="24"/>
  <c r="N150" i="2"/>
  <c r="K149" i="8"/>
  <c r="N150" i="16"/>
  <c r="K149" i="17"/>
  <c r="K150" i="25" l="1"/>
  <c r="N151" i="24"/>
  <c r="K150" i="17"/>
  <c r="N151" i="16"/>
  <c r="K150" i="8"/>
  <c r="N151" i="2"/>
  <c r="N152" i="24" l="1"/>
  <c r="K151" i="25"/>
  <c r="K151" i="8"/>
  <c r="N152" i="2"/>
  <c r="N152" i="16"/>
  <c r="K151" i="17"/>
  <c r="N153" i="24" l="1"/>
  <c r="K152" i="25"/>
  <c r="N153" i="16"/>
  <c r="K152" i="17"/>
  <c r="K152" i="8"/>
  <c r="N153" i="2"/>
  <c r="K153" i="25" l="1"/>
  <c r="N154" i="24"/>
  <c r="K153" i="8"/>
  <c r="N154" i="2"/>
  <c r="K153" i="17"/>
  <c r="N154" i="16"/>
  <c r="K154" i="25" l="1"/>
  <c r="N155" i="24"/>
  <c r="K154" i="17"/>
  <c r="N155" i="16"/>
  <c r="N155" i="2"/>
  <c r="K154" i="8"/>
  <c r="N156" i="24" l="1"/>
  <c r="K155" i="25"/>
  <c r="K155" i="8"/>
  <c r="N156" i="2"/>
  <c r="N156" i="16"/>
  <c r="K155" i="17"/>
  <c r="K156" i="25" l="1"/>
  <c r="N157" i="24"/>
  <c r="K156" i="17"/>
  <c r="N157" i="16"/>
  <c r="N157" i="2"/>
  <c r="K156" i="8"/>
  <c r="N158" i="24" l="1"/>
  <c r="K157" i="25"/>
  <c r="N158" i="2"/>
  <c r="K157" i="8"/>
  <c r="N158" i="16"/>
  <c r="K157" i="17"/>
  <c r="N159" i="24" l="1"/>
  <c r="K158" i="25"/>
  <c r="N159" i="16"/>
  <c r="K158" i="17"/>
  <c r="K158" i="8"/>
  <c r="N159" i="2"/>
  <c r="K159" i="25" l="1"/>
  <c r="N160" i="24"/>
  <c r="K159" i="8"/>
  <c r="N160" i="2"/>
  <c r="N160" i="16"/>
  <c r="K159" i="17"/>
  <c r="H49" i="34"/>
  <c r="H54" i="34" s="1"/>
  <c r="J55" i="34"/>
  <c r="J49" i="34"/>
  <c r="J54" i="34" s="1"/>
  <c r="H6" i="34"/>
  <c r="H5" i="34" s="1"/>
  <c r="N161" i="24" l="1"/>
  <c r="K160" i="25"/>
  <c r="K160" i="17"/>
  <c r="N161" i="16"/>
  <c r="K160" i="8"/>
  <c r="N161" i="2"/>
  <c r="H55" i="34"/>
  <c r="J5" i="34"/>
  <c r="I5" i="34"/>
  <c r="N162" i="24" l="1"/>
  <c r="K161" i="25"/>
  <c r="K161" i="8"/>
  <c r="N162" i="2"/>
  <c r="K161" i="17"/>
  <c r="N162" i="16"/>
  <c r="N163" i="24" l="1"/>
  <c r="K162" i="25"/>
  <c r="N163" i="2"/>
  <c r="K162" i="8"/>
  <c r="K162" i="17"/>
  <c r="N163" i="16"/>
  <c r="N164" i="24" l="1"/>
  <c r="K163" i="25"/>
  <c r="N164" i="16"/>
  <c r="K163" i="17"/>
  <c r="N164" i="2"/>
  <c r="K163" i="8"/>
  <c r="K164" i="25" l="1"/>
  <c r="N165" i="24"/>
  <c r="N165" i="2"/>
  <c r="K164" i="8"/>
  <c r="K164" i="17"/>
  <c r="N165" i="16"/>
  <c r="N166" i="24" l="1"/>
  <c r="K165" i="25"/>
  <c r="N166" i="16"/>
  <c r="K165" i="17"/>
  <c r="N166" i="2"/>
  <c r="K165" i="8"/>
  <c r="K166" i="25" l="1"/>
  <c r="N167" i="24"/>
  <c r="K166" i="8"/>
  <c r="N167" i="2"/>
  <c r="K166" i="17"/>
  <c r="N167" i="16"/>
  <c r="N168" i="24" l="1"/>
  <c r="K167" i="25"/>
  <c r="K167" i="17"/>
  <c r="N168" i="16"/>
  <c r="N168" i="2"/>
  <c r="K167" i="8"/>
  <c r="N169" i="24" l="1"/>
  <c r="K168" i="25"/>
  <c r="K168" i="8"/>
  <c r="N169" i="2"/>
  <c r="N169" i="16"/>
  <c r="K168" i="17"/>
  <c r="N170" i="24" l="1"/>
  <c r="K169" i="25"/>
  <c r="N170" i="2"/>
  <c r="K169" i="8"/>
  <c r="N170" i="16"/>
  <c r="K169" i="17"/>
  <c r="N171" i="24" l="1"/>
  <c r="K170" i="25"/>
  <c r="K170" i="17"/>
  <c r="N171" i="16"/>
  <c r="N171" i="2"/>
  <c r="K170" i="8"/>
  <c r="K171" i="25" l="1"/>
  <c r="N172" i="24"/>
  <c r="N172" i="16"/>
  <c r="K171" i="17"/>
  <c r="N172" i="2"/>
  <c r="K171" i="8"/>
  <c r="K172" i="25" l="1"/>
  <c r="N173" i="24"/>
  <c r="N173" i="2"/>
  <c r="K172" i="8"/>
  <c r="N173" i="16"/>
  <c r="K172" i="17"/>
  <c r="K173" i="25" l="1"/>
  <c r="N174" i="24"/>
  <c r="N174" i="16"/>
  <c r="K173" i="17"/>
  <c r="N174" i="2"/>
  <c r="K173" i="8"/>
  <c r="K174" i="25" l="1"/>
  <c r="N175" i="24"/>
  <c r="N175" i="2"/>
  <c r="K174" i="8"/>
  <c r="N175" i="16"/>
  <c r="K174" i="17"/>
  <c r="K175" i="25" l="1"/>
  <c r="N176" i="24"/>
  <c r="N176" i="16"/>
  <c r="K175" i="17"/>
  <c r="N176" i="2"/>
  <c r="K175" i="8"/>
  <c r="K176" i="25" l="1"/>
  <c r="N177" i="24"/>
  <c r="K176" i="8"/>
  <c r="N177" i="2"/>
  <c r="N177" i="16"/>
  <c r="K176" i="17"/>
  <c r="K177" i="25" l="1"/>
  <c r="N178" i="24"/>
  <c r="N178" i="16"/>
  <c r="K177" i="17"/>
  <c r="K177" i="8"/>
  <c r="N178" i="2"/>
  <c r="K178" i="25" l="1"/>
  <c r="N179" i="24"/>
  <c r="K178" i="8"/>
  <c r="N179" i="2"/>
  <c r="N179" i="16"/>
  <c r="K178" i="17"/>
  <c r="K179" i="25" l="1"/>
  <c r="N180" i="24"/>
  <c r="N180" i="2"/>
  <c r="K179" i="8"/>
  <c r="N180" i="16"/>
  <c r="K179" i="17"/>
  <c r="N181" i="24" l="1"/>
  <c r="K180" i="25"/>
  <c r="N181" i="16"/>
  <c r="K180" i="17"/>
  <c r="N181" i="2"/>
  <c r="K180" i="8"/>
  <c r="C16" i="4"/>
  <c r="C15" i="4" s="1"/>
  <c r="C9" i="22"/>
  <c r="C8" i="22" s="1"/>
  <c r="I8" i="7" s="1"/>
  <c r="C9" i="14"/>
  <c r="C8" i="14" s="1"/>
  <c r="C35" i="26" l="1"/>
  <c r="I6" i="7" s="1"/>
  <c r="J8" i="7" s="1"/>
  <c r="K181" i="25"/>
  <c r="N182" i="24"/>
  <c r="G6" i="22"/>
  <c r="F6" i="22"/>
  <c r="F7" i="22"/>
  <c r="N182" i="2"/>
  <c r="K181" i="8"/>
  <c r="K181" i="17"/>
  <c r="N182" i="16"/>
  <c r="I7" i="7"/>
  <c r="H45" i="26" l="1"/>
  <c r="I45" i="26"/>
  <c r="J45" i="26"/>
  <c r="G45" i="26"/>
  <c r="B32" i="7"/>
  <c r="J7" i="7"/>
  <c r="H40" i="26" s="1"/>
  <c r="E6" i="14"/>
  <c r="D7" i="14"/>
  <c r="K182" i="8"/>
  <c r="N183" i="2"/>
  <c r="K182" i="17"/>
  <c r="I6" i="14" s="1"/>
  <c r="N183" i="16"/>
  <c r="K182" i="25"/>
  <c r="N183" i="24"/>
  <c r="J6" i="22"/>
  <c r="I7" i="22"/>
  <c r="H6" i="22"/>
  <c r="G7" i="22"/>
  <c r="G5" i="22" s="1"/>
  <c r="G44" i="26" s="1"/>
  <c r="I14" i="4"/>
  <c r="F13" i="4"/>
  <c r="J13" i="4"/>
  <c r="I13" i="4"/>
  <c r="J14" i="4"/>
  <c r="J7" i="14"/>
  <c r="J6" i="14"/>
  <c r="F6" i="14"/>
  <c r="I7" i="14"/>
  <c r="H7" i="22"/>
  <c r="J7" i="22"/>
  <c r="I6" i="22"/>
  <c r="F5" i="22"/>
  <c r="F44" i="26" s="1"/>
  <c r="H6" i="14"/>
  <c r="G7" i="14"/>
  <c r="H7" i="14"/>
  <c r="F7" i="14"/>
  <c r="G6" i="14"/>
  <c r="G13" i="4"/>
  <c r="F14" i="4"/>
  <c r="H13" i="4"/>
  <c r="G14" i="4"/>
  <c r="H14" i="4"/>
  <c r="D40" i="26"/>
  <c r="E40" i="26"/>
  <c r="F40" i="26"/>
  <c r="G40" i="26"/>
  <c r="I40" i="26"/>
  <c r="D45" i="26"/>
  <c r="C45" i="26"/>
  <c r="C40" i="26"/>
  <c r="J40" i="26" l="1"/>
  <c r="C32" i="7" s="1"/>
  <c r="I5" i="14"/>
  <c r="I39" i="26" s="1"/>
  <c r="I5" i="22"/>
  <c r="I44" i="26" s="1"/>
  <c r="N184" i="24"/>
  <c r="K183" i="25"/>
  <c r="N184" i="2"/>
  <c r="K183" i="8"/>
  <c r="N184" i="16"/>
  <c r="K183" i="17"/>
  <c r="H5" i="22"/>
  <c r="H44" i="26" s="1"/>
  <c r="J5" i="22"/>
  <c r="J44" i="26" s="1"/>
  <c r="F5" i="14"/>
  <c r="F39" i="26" s="1"/>
  <c r="J5" i="14"/>
  <c r="J39" i="26" s="1"/>
  <c r="G5" i="14"/>
  <c r="G39" i="26" s="1"/>
  <c r="H5" i="14"/>
  <c r="H39" i="26" s="1"/>
  <c r="D32" i="7"/>
  <c r="N185" i="2" l="1"/>
  <c r="K185" i="8" s="1"/>
  <c r="K184" i="8"/>
  <c r="N185" i="16"/>
  <c r="K185" i="17" s="1"/>
  <c r="K184" i="17"/>
  <c r="K184" i="25"/>
  <c r="N185" i="24"/>
  <c r="K185" i="25" s="1"/>
  <c r="E7" i="14" l="1"/>
  <c r="E5" i="14" s="1"/>
  <c r="E39" i="26" s="1"/>
  <c r="D6" i="14"/>
  <c r="D5" i="14" s="1"/>
  <c r="D39" i="26" s="1"/>
  <c r="C7" i="14"/>
  <c r="C5" i="14" s="1"/>
  <c r="C39" i="26" s="1"/>
  <c r="E7" i="22"/>
  <c r="E6" i="22"/>
  <c r="D7" i="22"/>
  <c r="D5" i="22" s="1"/>
  <c r="D44" i="26" s="1"/>
  <c r="B9" i="7"/>
  <c r="I4" i="7" s="1"/>
  <c r="B7" i="7"/>
  <c r="B8" i="7" s="1"/>
  <c r="B7" i="23"/>
  <c r="B8" i="23" s="1"/>
  <c r="B9" i="23"/>
  <c r="D14" i="4"/>
  <c r="E14" i="4"/>
  <c r="E13" i="4"/>
  <c r="C14" i="4"/>
  <c r="C12" i="4" s="1"/>
  <c r="C34" i="26" s="1"/>
  <c r="D13" i="4"/>
  <c r="B9" i="15"/>
  <c r="B7" i="15"/>
  <c r="B8" i="15" s="1"/>
  <c r="C31" i="7" l="1"/>
  <c r="C35" i="7" s="1"/>
  <c r="D17" i="26" s="1"/>
  <c r="E5" i="22"/>
  <c r="E12" i="4"/>
  <c r="E34" i="26" s="1"/>
  <c r="D12" i="4"/>
  <c r="D34" i="26" s="1"/>
  <c r="I12" i="4"/>
  <c r="I34" i="26" s="1"/>
  <c r="G12" i="4"/>
  <c r="G34" i="26" s="1"/>
  <c r="J12" i="4"/>
  <c r="J34" i="26" s="1"/>
  <c r="F12" i="4"/>
  <c r="F34" i="26" s="1"/>
  <c r="H12" i="4"/>
  <c r="H34" i="26" s="1"/>
  <c r="M14" i="26"/>
  <c r="D14" i="26"/>
  <c r="N14" i="26"/>
  <c r="E14" i="26"/>
  <c r="E44" i="26" l="1"/>
  <c r="D31" i="7" s="1"/>
  <c r="C33" i="7"/>
  <c r="F14" i="26"/>
  <c r="B31" i="7"/>
  <c r="O14" i="26"/>
  <c r="D35" i="7" l="1"/>
  <c r="E17" i="26" s="1"/>
  <c r="F17" i="26" s="1"/>
  <c r="D33" i="7"/>
  <c r="D36" i="7" s="1"/>
  <c r="E18" i="26" s="1"/>
  <c r="D15" i="26"/>
  <c r="C36" i="7"/>
  <c r="D18" i="26" s="1"/>
  <c r="B35" i="7"/>
  <c r="C17" i="26" s="1"/>
  <c r="B33" i="7"/>
  <c r="E15" i="26" l="1"/>
  <c r="F15" i="26" s="1"/>
  <c r="F18" i="26"/>
  <c r="C15" i="26"/>
  <c r="B36" i="7"/>
  <c r="C18" i="26" s="1"/>
  <c r="F28" i="26" l="1"/>
  <c r="F33" i="26" s="1"/>
  <c r="G28" i="26"/>
  <c r="G33" i="26" s="1"/>
  <c r="H28" i="26"/>
  <c r="H33" i="26" s="1"/>
  <c r="I28" i="26"/>
  <c r="I33" i="26" s="1"/>
  <c r="J28" i="26" l="1"/>
  <c r="J33" i="26" s="1"/>
  <c r="D28" i="26" l="1"/>
  <c r="D33" i="26" s="1"/>
  <c r="E28" i="26"/>
  <c r="E33" i="26" s="1"/>
  <c r="C33" i="26" l="1"/>
  <c r="C28" i="26" s="1"/>
</calcChain>
</file>

<file path=xl/sharedStrings.xml><?xml version="1.0" encoding="utf-8"?>
<sst xmlns="http://schemas.openxmlformats.org/spreadsheetml/2006/main" count="392" uniqueCount="145">
  <si>
    <t>G:F</t>
  </si>
  <si>
    <t>Client</t>
  </si>
  <si>
    <t>Weight In, kg</t>
  </si>
  <si>
    <t>Weight Out, kg</t>
  </si>
  <si>
    <t>Weight In, lb</t>
  </si>
  <si>
    <t>Weight Out, lb</t>
  </si>
  <si>
    <t xml:space="preserve">     Barrows</t>
  </si>
  <si>
    <t xml:space="preserve">     Gilts</t>
  </si>
  <si>
    <t xml:space="preserve">     Boars</t>
  </si>
  <si>
    <t xml:space="preserve">     Barrows and Gilts</t>
  </si>
  <si>
    <t xml:space="preserve">85% of PIC as min @beginning </t>
  </si>
  <si>
    <t>100% of PIC on average</t>
  </si>
  <si>
    <t>SID Lys, % of the diet</t>
  </si>
  <si>
    <t>Age, d</t>
  </si>
  <si>
    <t>Weight, kg</t>
  </si>
  <si>
    <t>Est. ADG, g/d</t>
  </si>
  <si>
    <t>Current ADG, g</t>
  </si>
  <si>
    <t>Current F:G</t>
  </si>
  <si>
    <t>Days on feed</t>
  </si>
  <si>
    <t>Age in</t>
  </si>
  <si>
    <t>Age out</t>
  </si>
  <si>
    <t>Age at beginnig, days</t>
  </si>
  <si>
    <t>Feed Budget, kg/pig</t>
  </si>
  <si>
    <t>Feed per pig</t>
  </si>
  <si>
    <t>ADG</t>
  </si>
  <si>
    <t>F:G</t>
  </si>
  <si>
    <t>%</t>
  </si>
  <si>
    <t>Adj</t>
  </si>
  <si>
    <t>Sire</t>
  </si>
  <si>
    <t>Energy</t>
  </si>
  <si>
    <t>ADFI, kg/day</t>
  </si>
  <si>
    <t>Age/Gender</t>
  </si>
  <si>
    <t>Barrows</t>
  </si>
  <si>
    <t>Gilts</t>
  </si>
  <si>
    <t>Mixed gender</t>
  </si>
  <si>
    <t>SID Lys, grams:Mcal ME</t>
  </si>
  <si>
    <t>a</t>
  </si>
  <si>
    <t>b</t>
  </si>
  <si>
    <t>c</t>
  </si>
  <si>
    <t>y</t>
  </si>
  <si>
    <t>SQR</t>
  </si>
  <si>
    <t>2a</t>
  </si>
  <si>
    <t>Gilts/mixed</t>
  </si>
  <si>
    <t>Barrows/mixed</t>
  </si>
  <si>
    <t>Energy level, NRC ME kcal/kg</t>
  </si>
  <si>
    <t xml:space="preserve">   Weight In, lb</t>
  </si>
  <si>
    <t xml:space="preserve">   Weight Out, lb</t>
  </si>
  <si>
    <t xml:space="preserve">   Feed Budget, lb/pig</t>
  </si>
  <si>
    <t xml:space="preserve"> </t>
  </si>
  <si>
    <t xml:space="preserve">   Days on feed</t>
  </si>
  <si>
    <t xml:space="preserve">   Barrows</t>
  </si>
  <si>
    <t xml:space="preserve">   Gilts</t>
  </si>
  <si>
    <t>Mixed</t>
  </si>
  <si>
    <t>Low energy diet</t>
  </si>
  <si>
    <t>High energy diet</t>
  </si>
  <si>
    <t>Moderate energy diet</t>
  </si>
  <si>
    <t>Kcal/kg</t>
  </si>
  <si>
    <t>Weighted energy level</t>
  </si>
  <si>
    <t>Av. Weight per phase, kg</t>
  </si>
  <si>
    <t>Economic evaluation criteria</t>
  </si>
  <si>
    <t>Carcass</t>
  </si>
  <si>
    <t>Live</t>
  </si>
  <si>
    <t xml:space="preserve">   Energy level, NRC ME kcal/lb</t>
  </si>
  <si>
    <t xml:space="preserve">   Diet cost, $/ton</t>
  </si>
  <si>
    <t>IOFC, $/pig</t>
  </si>
  <si>
    <t>ADG, lb</t>
  </si>
  <si>
    <t>Avg Split Sex</t>
  </si>
  <si>
    <t>Mixed Gender</t>
  </si>
  <si>
    <t>Performance and economics output - Fixed Time (space short)</t>
  </si>
  <si>
    <t>Economic Criteria</t>
  </si>
  <si>
    <t>Total Revenue per Pig, $</t>
  </si>
  <si>
    <t>Total diet cost per pig, $</t>
  </si>
  <si>
    <t>Age</t>
  </si>
  <si>
    <t>ADG, kg</t>
  </si>
  <si>
    <t>ADFI, kg</t>
  </si>
  <si>
    <t>Total FI</t>
  </si>
  <si>
    <t>High</t>
  </si>
  <si>
    <t>Low</t>
  </si>
  <si>
    <t>B or G/Mixed</t>
  </si>
  <si>
    <t>Est. G:F</t>
  </si>
  <si>
    <t>Est. F:G</t>
  </si>
  <si>
    <t>Est. ADFI</t>
  </si>
  <si>
    <t>Ac. Feed intake, kg</t>
  </si>
  <si>
    <t>Body Weight, kg</t>
  </si>
  <si>
    <t xml:space="preserve">Client </t>
  </si>
  <si>
    <t>Adj BW in B/G</t>
  </si>
  <si>
    <t>Adj BW in G/B</t>
  </si>
  <si>
    <t>Adj Final BW</t>
  </si>
  <si>
    <t>kg</t>
  </si>
  <si>
    <t>Diff Initial BW Gilts/Barrows)</t>
  </si>
  <si>
    <t>Mod</t>
  </si>
  <si>
    <t>57-58</t>
  </si>
  <si>
    <t>58-59</t>
  </si>
  <si>
    <t>59-60</t>
  </si>
  <si>
    <t>60-61</t>
  </si>
  <si>
    <t>ADFI</t>
  </si>
  <si>
    <t>F/G</t>
  </si>
  <si>
    <t>average</t>
  </si>
  <si>
    <t>=</t>
  </si>
  <si>
    <t>initial+final</t>
  </si>
  <si>
    <t>Facility cost, $/day</t>
  </si>
  <si>
    <t>IOFFC, $/pig</t>
  </si>
  <si>
    <t>Total Facility cost per Pig, $</t>
  </si>
  <si>
    <t>Total Feed and Facility Cost per Pig, $</t>
  </si>
  <si>
    <t>Total Feed and Facility Cost, $/pig</t>
  </si>
  <si>
    <t>Total Revenue, $/pig</t>
  </si>
  <si>
    <t>ADFI, lb</t>
  </si>
  <si>
    <t>Weight, lb</t>
  </si>
  <si>
    <t>Week</t>
  </si>
  <si>
    <t>Cumulative Feed Conversion</t>
  </si>
  <si>
    <t>Incremental Feed Conversion</t>
  </si>
  <si>
    <t>Total Feed per Week, lb</t>
  </si>
  <si>
    <t>Incremental ADG, lb</t>
  </si>
  <si>
    <t>Cumulative ADG, lb</t>
  </si>
  <si>
    <t>Cumulative Feed Intake, lb</t>
  </si>
  <si>
    <t>DOF</t>
  </si>
  <si>
    <t>Incremental ADFI, lb</t>
  </si>
  <si>
    <t xml:space="preserve">   Weight In, kg</t>
  </si>
  <si>
    <t xml:space="preserve">   Weight Out, kg</t>
  </si>
  <si>
    <t xml:space="preserve">   Feed Budget, kg/pig</t>
  </si>
  <si>
    <t>ADG, lb/day</t>
  </si>
  <si>
    <t>Imperial</t>
  </si>
  <si>
    <t>Metric</t>
  </si>
  <si>
    <t xml:space="preserve">   Energy level, NRC ME kcal/kg</t>
  </si>
  <si>
    <t>ADG, g/day</t>
  </si>
  <si>
    <t>Kcal/lb</t>
  </si>
  <si>
    <t>Net Energy</t>
  </si>
  <si>
    <t>Metabolizable Energy</t>
  </si>
  <si>
    <t>Final BW</t>
  </si>
  <si>
    <t>Carcass BW</t>
  </si>
  <si>
    <t>Total Feed per Week, kg</t>
  </si>
  <si>
    <t>Пожалуйста, заполните желтые ячейки</t>
  </si>
  <si>
    <t>Смешанный пол</t>
  </si>
  <si>
    <t>Версия</t>
  </si>
  <si>
    <t>Конверсия</t>
  </si>
  <si>
    <t>Дней кормления</t>
  </si>
  <si>
    <t>ССП г/дн</t>
  </si>
  <si>
    <t>Кормовой бюджет кг/гол</t>
  </si>
  <si>
    <t xml:space="preserve">   % SID Лизин</t>
  </si>
  <si>
    <t xml:space="preserve">   г SID Лиз:Мкал NRC ОЭ</t>
  </si>
  <si>
    <t>Вес выхода кг</t>
  </si>
  <si>
    <t>Входящий вес кг</t>
  </si>
  <si>
    <t>ОЭ NRC ккал/кг</t>
  </si>
  <si>
    <t>Стартовый возраст, дн</t>
  </si>
  <si>
    <t>Метрика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</si>
</sst>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0.000"/>
    <numFmt numFmtId="166" formatCode="0.0"/>
    <numFmt numFmtId="167" formatCode="0.0%"/>
    <numFmt numFmtId="168" formatCode="&quot;$&quot;#,##0.00"/>
    <numFmt numFmtId="169" formatCode="[$$-409]#,##0.00_);\([$$-409]#,##0.00\)"/>
    <numFmt numFmtId="170" formatCode="0.0000"/>
    <numFmt numFmtId="171" formatCode="0.00000"/>
    <numFmt numFmtId="172" formatCode="0.000000"/>
    <numFmt numFmtId="173" formatCode="0.000000000000"/>
    <numFmt numFmtId="174" formatCode="0.0000000000000"/>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12"/>
      <color rgb="FFFF0000"/>
      <name val="Calibri"/>
      <family val="2"/>
      <scheme val="minor"/>
    </font>
    <font>
      <sz val="11"/>
      <name val="Calibri"/>
      <family val="2"/>
      <scheme val="minor"/>
    </font>
    <font>
      <b/>
      <sz val="11"/>
      <color rgb="FFFF0000"/>
      <name val="Calibri"/>
      <family val="2"/>
      <scheme val="minor"/>
    </font>
    <font>
      <b/>
      <sz val="16"/>
      <color rgb="FFFF0000"/>
      <name val="Calibri"/>
      <family val="2"/>
      <scheme val="minor"/>
    </font>
    <font>
      <sz val="16"/>
      <color theme="1"/>
      <name val="Calibri"/>
      <family val="2"/>
      <scheme val="minor"/>
    </font>
    <font>
      <i/>
      <sz val="16"/>
      <color theme="1"/>
      <name val="Calibri"/>
      <family val="2"/>
      <scheme val="minor"/>
    </font>
    <font>
      <sz val="10"/>
      <color theme="1"/>
      <name val="Calibri"/>
      <family val="2"/>
      <scheme val="minor"/>
    </font>
    <font>
      <sz val="9"/>
      <color theme="1"/>
      <name val="Calibri"/>
      <family val="2"/>
      <scheme val="minor"/>
    </font>
    <font>
      <sz val="11"/>
      <color rgb="FF006100"/>
      <name val="Calibri"/>
      <family val="2"/>
      <scheme val="minor"/>
    </font>
    <font>
      <sz val="11"/>
      <color rgb="FF9C0006"/>
      <name val="Calibri"/>
      <family val="2"/>
      <scheme val="minor"/>
    </font>
    <font>
      <b/>
      <sz val="12"/>
      <color theme="1"/>
      <name val="Calibri"/>
      <family val="2"/>
      <scheme val="minor"/>
    </font>
    <font>
      <sz val="12"/>
      <color theme="1"/>
      <name val="Calibri"/>
      <family val="2"/>
      <scheme val="minor"/>
    </font>
    <font>
      <sz val="11"/>
      <color rgb="FF9C5700"/>
      <name val="Calibri"/>
      <family val="2"/>
      <scheme val="minor"/>
    </font>
    <font>
      <b/>
      <sz val="20"/>
      <color indexed="20"/>
      <name val="Calibri"/>
      <family val="2"/>
      <scheme val="minor"/>
    </font>
    <font>
      <b/>
      <sz val="14"/>
      <color indexed="17"/>
      <name val="Calibri"/>
      <family val="2"/>
      <scheme val="minor"/>
    </font>
    <font>
      <b/>
      <sz val="11"/>
      <color indexed="17"/>
      <name val="Calibri"/>
      <family val="2"/>
      <scheme val="minor"/>
    </font>
    <font>
      <b/>
      <sz val="11"/>
      <name val="Calibri"/>
      <family val="2"/>
      <scheme val="minor"/>
    </font>
    <font>
      <b/>
      <i/>
      <sz val="11"/>
      <name val="Calibri"/>
      <family val="2"/>
      <scheme val="minor"/>
    </font>
    <font>
      <b/>
      <sz val="14"/>
      <color rgb="FF9C5700"/>
      <name val="Calibri"/>
      <family val="2"/>
      <scheme val="minor"/>
    </font>
    <font>
      <b/>
      <sz val="14"/>
      <color theme="1"/>
      <name val="Calibri"/>
      <family val="2"/>
      <scheme val="minor"/>
    </font>
    <font>
      <b/>
      <sz val="11"/>
      <color theme="0"/>
      <name val="Calibri"/>
      <family val="2"/>
      <scheme val="minor"/>
    </font>
    <font>
      <b/>
      <sz val="20"/>
      <color rgb="FF9C0006"/>
      <name val="Calibri"/>
      <family val="2"/>
      <scheme val="minor"/>
    </font>
    <font>
      <b/>
      <sz val="11"/>
      <color rgb="FF006100"/>
      <name val="Calibri"/>
      <family val="2"/>
      <scheme val="minor"/>
    </font>
    <font>
      <b/>
      <sz val="11"/>
      <color indexed="60"/>
      <name val="Calibri"/>
      <family val="2"/>
      <scheme val="minor"/>
    </font>
    <font>
      <sz val="11"/>
      <color indexed="17"/>
      <name val="Calibri"/>
      <family val="2"/>
      <scheme val="minor"/>
    </font>
    <font>
      <b/>
      <sz val="11"/>
      <color indexed="10"/>
      <name val="Calibri"/>
      <family val="2"/>
      <scheme val="minor"/>
    </font>
    <font>
      <b/>
      <sz val="11"/>
      <color rgb="FF9C0006"/>
      <name val="Calibri"/>
      <family val="2"/>
      <scheme val="minor"/>
    </font>
    <font>
      <b/>
      <sz val="12"/>
      <color theme="0"/>
      <name val="Calibri"/>
      <family val="2"/>
      <scheme val="minor"/>
    </font>
    <font>
      <u/>
      <sz val="11"/>
      <color theme="1"/>
      <name val="Calibri"/>
      <family val="2"/>
      <scheme val="minor"/>
    </font>
    <font>
      <sz val="11"/>
      <color theme="0"/>
      <name val="Calibri"/>
      <family val="2"/>
      <scheme val="minor"/>
    </font>
  </fonts>
  <fills count="12">
    <fill>
      <patternFill patternType="none"/>
    </fill>
    <fill>
      <patternFill patternType="gray125"/>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theme="8" tint="0.79998168889431442"/>
        <bgColor indexed="65"/>
      </patternFill>
    </fill>
    <fill>
      <patternFill patternType="solid">
        <fgColor rgb="FFFFFF00"/>
        <bgColor indexed="64"/>
      </patternFill>
    </fill>
    <fill>
      <patternFill patternType="solid">
        <fgColor rgb="FF0070C0"/>
        <bgColor indexed="64"/>
      </patternFill>
    </fill>
    <fill>
      <patternFill patternType="solid">
        <fgColor theme="4" tint="0.79998168889431442"/>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right/>
      <top/>
      <bottom style="thin">
        <color rgb="FFB2B2B2"/>
      </bottom>
      <diagonal/>
    </border>
    <border>
      <left/>
      <right style="thin">
        <color rgb="FFB2B2B2"/>
      </right>
      <top/>
      <bottom style="thin">
        <color rgb="FFB2B2B2"/>
      </bottom>
      <diagonal/>
    </border>
    <border>
      <left style="thin">
        <color rgb="FFB2B2B2"/>
      </left>
      <right/>
      <top/>
      <bottom style="thin">
        <color rgb="FFB2B2B2"/>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right/>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7">
    <xf numFmtId="0" fontId="0" fillId="0" borderId="0"/>
    <xf numFmtId="9" fontId="1" fillId="0" borderId="0" applyFon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5" fillId="5" borderId="0" applyNumberFormat="0" applyBorder="0" applyAlignment="0" applyProtection="0"/>
    <xf numFmtId="0" fontId="1" fillId="7" borderId="0" applyNumberFormat="0" applyBorder="0" applyAlignment="0" applyProtection="0"/>
    <xf numFmtId="164" fontId="1" fillId="0" borderId="0" applyFont="0" applyFill="0" applyBorder="0" applyAlignment="0" applyProtection="0"/>
  </cellStyleXfs>
  <cellXfs count="243">
    <xf numFmtId="0" fontId="0" fillId="0" borderId="0" xfId="0"/>
    <xf numFmtId="165" fontId="0" fillId="0" borderId="0" xfId="0" applyNumberFormat="1"/>
    <xf numFmtId="2" fontId="0" fillId="0" borderId="0" xfId="0" applyNumberFormat="1"/>
    <xf numFmtId="166" fontId="0" fillId="0" borderId="0" xfId="0" applyNumberFormat="1"/>
    <xf numFmtId="1" fontId="0" fillId="0" borderId="0" xfId="0" applyNumberFormat="1"/>
    <xf numFmtId="0" fontId="2" fillId="0" borderId="0" xfId="0" applyFont="1" applyProtection="1">
      <protection hidden="1"/>
    </xf>
    <xf numFmtId="0" fontId="3" fillId="0" borderId="0" xfId="0" applyFont="1" applyAlignment="1" applyProtection="1">
      <alignment horizontal="center"/>
      <protection hidden="1"/>
    </xf>
    <xf numFmtId="0" fontId="4" fillId="0" borderId="0" xfId="0" applyFont="1" applyProtection="1">
      <protection hidden="1"/>
    </xf>
    <xf numFmtId="0" fontId="4" fillId="0" borderId="0" xfId="0" applyFont="1" applyAlignment="1" applyProtection="1">
      <alignment horizontal="center"/>
      <protection hidden="1"/>
    </xf>
    <xf numFmtId="0" fontId="0" fillId="0" borderId="0" xfId="0" applyProtection="1">
      <protection hidden="1"/>
    </xf>
    <xf numFmtId="0" fontId="0" fillId="0" borderId="0" xfId="0" applyAlignment="1" applyProtection="1">
      <alignment horizontal="center"/>
      <protection hidden="1"/>
    </xf>
    <xf numFmtId="1" fontId="0" fillId="0" borderId="1" xfId="0" applyNumberFormat="1" applyBorder="1" applyAlignment="1" applyProtection="1">
      <alignment horizontal="center"/>
      <protection hidden="1"/>
    </xf>
    <xf numFmtId="166" fontId="0" fillId="0" borderId="0" xfId="0" applyNumberFormat="1" applyAlignment="1" applyProtection="1">
      <alignment horizontal="center"/>
      <protection hidden="1"/>
    </xf>
    <xf numFmtId="2" fontId="0" fillId="0" borderId="1" xfId="0" applyNumberFormat="1" applyBorder="1" applyAlignment="1" applyProtection="1">
      <alignment horizontal="center"/>
      <protection hidden="1"/>
    </xf>
    <xf numFmtId="2" fontId="4" fillId="0" borderId="0" xfId="0" applyNumberFormat="1" applyFont="1" applyAlignment="1" applyProtection="1">
      <alignment horizontal="center"/>
      <protection hidden="1"/>
    </xf>
    <xf numFmtId="0" fontId="7" fillId="0" borderId="0" xfId="0" applyFont="1" applyAlignment="1" applyProtection="1">
      <alignment horizontal="center"/>
      <protection hidden="1"/>
    </xf>
    <xf numFmtId="0" fontId="7" fillId="0" borderId="0" xfId="0" applyFont="1" applyProtection="1">
      <protection hidden="1"/>
    </xf>
    <xf numFmtId="0" fontId="8" fillId="0" borderId="0" xfId="0" applyFont="1" applyAlignment="1" applyProtection="1">
      <alignment horizontal="center"/>
      <protection hidden="1"/>
    </xf>
    <xf numFmtId="0" fontId="10" fillId="0" borderId="0" xfId="0" applyFont="1"/>
    <xf numFmtId="167" fontId="0" fillId="0" borderId="0" xfId="1" applyNumberFormat="1" applyFont="1"/>
    <xf numFmtId="0" fontId="13" fillId="0" borderId="0" xfId="0" applyFont="1" applyAlignment="1" applyProtection="1">
      <alignment vertical="top"/>
      <protection hidden="1"/>
    </xf>
    <xf numFmtId="0" fontId="13" fillId="0" borderId="0" xfId="0" applyFont="1" applyAlignment="1" applyProtection="1">
      <alignment vertical="center"/>
      <protection hidden="1"/>
    </xf>
    <xf numFmtId="0" fontId="2" fillId="0" borderId="0" xfId="0" applyFont="1" applyFill="1" applyBorder="1" applyAlignment="1" applyProtection="1">
      <alignment horizontal="center" vertical="center"/>
      <protection hidden="1"/>
    </xf>
    <xf numFmtId="0" fontId="2" fillId="0" borderId="0" xfId="0" applyFont="1" applyAlignment="1">
      <alignment horizontal="center" vertical="center"/>
    </xf>
    <xf numFmtId="0" fontId="0" fillId="0" borderId="0" xfId="0" applyAlignment="1">
      <alignment horizontal="center" vertical="center"/>
    </xf>
    <xf numFmtId="166" fontId="0" fillId="0" borderId="0" xfId="0" applyNumberFormat="1" applyAlignment="1">
      <alignment horizontal="center" vertical="center"/>
    </xf>
    <xf numFmtId="1" fontId="0" fillId="0" borderId="0" xfId="0" applyNumberFormat="1" applyAlignment="1">
      <alignment horizontal="center" vertical="center"/>
    </xf>
    <xf numFmtId="165" fontId="0" fillId="0" borderId="0" xfId="0" applyNumberFormat="1" applyAlignment="1">
      <alignment horizontal="center" vertical="center"/>
    </xf>
    <xf numFmtId="2" fontId="0" fillId="0" borderId="0" xfId="0" applyNumberFormat="1" applyAlignment="1">
      <alignment horizontal="center" vertical="center"/>
    </xf>
    <xf numFmtId="166" fontId="0" fillId="0" borderId="0" xfId="0" applyNumberFormat="1" applyAlignment="1">
      <alignment horizontal="center"/>
    </xf>
    <xf numFmtId="0" fontId="0" fillId="0" borderId="0" xfId="1" applyNumberFormat="1" applyFont="1"/>
    <xf numFmtId="2" fontId="0" fillId="0" borderId="0" xfId="0" applyNumberFormat="1" applyAlignment="1">
      <alignment horizontal="center"/>
    </xf>
    <xf numFmtId="166" fontId="0" fillId="0" borderId="0" xfId="0" applyNumberFormat="1" applyProtection="1">
      <protection hidden="1"/>
    </xf>
    <xf numFmtId="1" fontId="0" fillId="0" borderId="0" xfId="0" applyNumberFormat="1" applyProtection="1">
      <protection hidden="1"/>
    </xf>
    <xf numFmtId="166" fontId="0" fillId="0" borderId="1" xfId="0" applyNumberFormat="1" applyBorder="1" applyAlignment="1" applyProtection="1">
      <alignment horizontal="center"/>
      <protection hidden="1"/>
    </xf>
    <xf numFmtId="0" fontId="0" fillId="0" borderId="0" xfId="0" applyAlignment="1">
      <alignment horizontal="center"/>
    </xf>
    <xf numFmtId="0" fontId="13" fillId="0" borderId="0" xfId="0" applyFont="1" applyAlignment="1">
      <alignment horizontal="center"/>
    </xf>
    <xf numFmtId="0" fontId="13" fillId="0" borderId="0" xfId="0" applyFont="1" applyAlignment="1">
      <alignment horizontal="center" wrapText="1"/>
    </xf>
    <xf numFmtId="0" fontId="2" fillId="0" borderId="0" xfId="0" applyFont="1" applyAlignment="1">
      <alignment horizontal="center" wrapText="1"/>
    </xf>
    <xf numFmtId="0" fontId="18" fillId="3" borderId="2" xfId="2" applyFont="1" applyBorder="1" applyAlignment="1">
      <alignment horizontal="center"/>
    </xf>
    <xf numFmtId="0" fontId="0" fillId="6" borderId="0" xfId="0" applyFill="1" applyAlignment="1">
      <alignment horizontal="center"/>
    </xf>
    <xf numFmtId="2" fontId="0" fillId="0" borderId="0" xfId="0" applyNumberFormat="1" applyProtection="1">
      <protection hidden="1"/>
    </xf>
    <xf numFmtId="1" fontId="0" fillId="6" borderId="1" xfId="0" applyNumberFormat="1" applyFill="1" applyBorder="1" applyAlignment="1" applyProtection="1">
      <alignment horizontal="center"/>
      <protection locked="0"/>
    </xf>
    <xf numFmtId="0" fontId="19" fillId="0" borderId="0" xfId="0" applyFont="1" applyProtection="1">
      <protection hidden="1"/>
    </xf>
    <xf numFmtId="1" fontId="0" fillId="0" borderId="0" xfId="0" applyNumberFormat="1" applyBorder="1" applyAlignment="1" applyProtection="1">
      <alignment horizontal="center"/>
      <protection hidden="1"/>
    </xf>
    <xf numFmtId="0" fontId="0" fillId="0" borderId="0" xfId="0" applyFont="1" applyProtection="1">
      <protection hidden="1"/>
    </xf>
    <xf numFmtId="0" fontId="0" fillId="0" borderId="0" xfId="0" applyAlignment="1">
      <alignment horizontal="center"/>
    </xf>
    <xf numFmtId="0" fontId="4" fillId="0" borderId="3" xfId="0" applyFont="1" applyBorder="1" applyAlignment="1" applyProtection="1">
      <alignment horizontal="center"/>
      <protection hidden="1"/>
    </xf>
    <xf numFmtId="0" fontId="4" fillId="0" borderId="3" xfId="0" applyFont="1" applyBorder="1" applyProtection="1">
      <protection hidden="1"/>
    </xf>
    <xf numFmtId="0" fontId="20" fillId="0" borderId="3" xfId="0" applyFont="1" applyBorder="1" applyProtection="1">
      <protection hidden="1"/>
    </xf>
    <xf numFmtId="166" fontId="0" fillId="6" borderId="1" xfId="0" applyNumberFormat="1" applyFill="1" applyBorder="1" applyAlignment="1" applyProtection="1">
      <alignment horizontal="center"/>
      <protection locked="0"/>
    </xf>
    <xf numFmtId="0" fontId="0" fillId="0" borderId="0" xfId="0" applyAlignment="1" applyProtection="1">
      <alignment horizontal="center" vertical="center"/>
      <protection hidden="1"/>
    </xf>
    <xf numFmtId="1" fontId="0" fillId="0" borderId="0" xfId="0" applyNumberFormat="1" applyAlignment="1" applyProtection="1">
      <alignment horizontal="center" vertical="center"/>
      <protection hidden="1"/>
    </xf>
    <xf numFmtId="1" fontId="0" fillId="0" borderId="0" xfId="0" applyNumberFormat="1" applyAlignment="1" applyProtection="1">
      <alignment horizontal="center"/>
      <protection hidden="1"/>
    </xf>
    <xf numFmtId="2" fontId="0" fillId="0" borderId="0" xfId="0" applyNumberFormat="1" applyAlignment="1" applyProtection="1">
      <alignment horizontal="center" vertical="center"/>
      <protection hidden="1"/>
    </xf>
    <xf numFmtId="0" fontId="2" fillId="0" borderId="0" xfId="0" applyFont="1" applyAlignment="1" applyProtection="1">
      <alignment vertical="top"/>
      <protection hidden="1"/>
    </xf>
    <xf numFmtId="0" fontId="2" fillId="0" borderId="0" xfId="0" applyFont="1" applyAlignment="1" applyProtection="1">
      <alignment vertical="center"/>
      <protection hidden="1"/>
    </xf>
    <xf numFmtId="0" fontId="5" fillId="0" borderId="0" xfId="0" applyFont="1" applyProtection="1">
      <protection hidden="1"/>
    </xf>
    <xf numFmtId="1" fontId="14" fillId="6" borderId="1" xfId="0" applyNumberFormat="1" applyFont="1" applyFill="1" applyBorder="1" applyAlignment="1" applyProtection="1">
      <alignment horizontal="center"/>
      <protection locked="0"/>
    </xf>
    <xf numFmtId="2" fontId="14" fillId="6" borderId="1" xfId="0" applyNumberFormat="1" applyFont="1" applyFill="1" applyBorder="1" applyAlignment="1" applyProtection="1">
      <alignment horizontal="center"/>
      <protection locked="0"/>
    </xf>
    <xf numFmtId="1" fontId="14" fillId="6" borderId="1" xfId="0" applyNumberFormat="1" applyFont="1" applyFill="1" applyBorder="1" applyAlignment="1" applyProtection="1">
      <alignment horizontal="center" vertical="center"/>
      <protection locked="0"/>
    </xf>
    <xf numFmtId="1" fontId="0" fillId="0" borderId="0" xfId="0" applyNumberFormat="1" applyAlignment="1">
      <alignment horizontal="center"/>
    </xf>
    <xf numFmtId="9" fontId="0" fillId="0" borderId="0" xfId="1" applyFont="1" applyAlignment="1">
      <alignment horizontal="center" vertical="center"/>
    </xf>
    <xf numFmtId="0" fontId="1" fillId="7" borderId="2" xfId="5" applyBorder="1" applyAlignment="1">
      <alignment horizontal="center"/>
    </xf>
    <xf numFmtId="2" fontId="11" fillId="3" borderId="0" xfId="2" applyNumberFormat="1" applyAlignment="1">
      <alignment horizontal="center"/>
    </xf>
    <xf numFmtId="165" fontId="11" fillId="3" borderId="0" xfId="2" applyNumberFormat="1" applyAlignment="1">
      <alignment horizontal="center"/>
    </xf>
    <xf numFmtId="2" fontId="1" fillId="7" borderId="0" xfId="5" applyNumberFormat="1" applyAlignment="1">
      <alignment horizontal="center"/>
    </xf>
    <xf numFmtId="2" fontId="15" fillId="5" borderId="0" xfId="4" applyNumberFormat="1" applyAlignment="1">
      <alignment horizontal="center"/>
    </xf>
    <xf numFmtId="165" fontId="15" fillId="5" borderId="0" xfId="4" applyNumberFormat="1" applyAlignment="1">
      <alignment horizontal="center"/>
    </xf>
    <xf numFmtId="165" fontId="1" fillId="7" borderId="0" xfId="5" applyNumberFormat="1" applyAlignment="1">
      <alignment horizontal="center" vertical="center"/>
    </xf>
    <xf numFmtId="1" fontId="0" fillId="8" borderId="0" xfId="0" applyNumberFormat="1" applyFill="1" applyAlignment="1">
      <alignment horizontal="center" vertical="center"/>
    </xf>
    <xf numFmtId="0" fontId="0" fillId="0" borderId="0" xfId="0" applyAlignment="1">
      <alignment horizontal="center"/>
    </xf>
    <xf numFmtId="0" fontId="4" fillId="0" borderId="0" xfId="0" applyFont="1" applyAlignment="1">
      <alignment horizontal="center"/>
    </xf>
    <xf numFmtId="0" fontId="4" fillId="0" borderId="0" xfId="0" applyFont="1"/>
    <xf numFmtId="0" fontId="0" fillId="0" borderId="0" xfId="0" applyAlignment="1">
      <alignment horizontal="left"/>
    </xf>
    <xf numFmtId="0" fontId="20" fillId="0" borderId="0" xfId="0" applyFont="1" applyBorder="1" applyProtection="1">
      <protection hidden="1"/>
    </xf>
    <xf numFmtId="0" fontId="4" fillId="0" borderId="0" xfId="0" applyFont="1" applyBorder="1" applyAlignment="1" applyProtection="1">
      <alignment horizontal="center"/>
      <protection hidden="1"/>
    </xf>
    <xf numFmtId="0" fontId="4" fillId="0" borderId="0" xfId="0" applyFont="1" applyBorder="1" applyProtection="1">
      <protection hidden="1"/>
    </xf>
    <xf numFmtId="0" fontId="4" fillId="0" borderId="0" xfId="0" applyFont="1" applyAlignment="1" applyProtection="1">
      <alignment horizontal="center" vertical="center"/>
      <protection hidden="1"/>
    </xf>
    <xf numFmtId="0" fontId="19" fillId="0" borderId="0" xfId="0" applyFont="1" applyAlignment="1" applyProtection="1">
      <alignment horizontal="center" vertical="center"/>
      <protection hidden="1"/>
    </xf>
    <xf numFmtId="164" fontId="0" fillId="0" borderId="0" xfId="6" applyFont="1" applyAlignment="1">
      <alignment horizontal="center"/>
    </xf>
    <xf numFmtId="165" fontId="0" fillId="0" borderId="0" xfId="0" applyNumberFormat="1" applyProtection="1">
      <protection hidden="1"/>
    </xf>
    <xf numFmtId="0" fontId="2" fillId="0" borderId="0" xfId="0" applyFont="1" applyAlignment="1" applyProtection="1">
      <alignment horizontal="center"/>
      <protection hidden="1"/>
    </xf>
    <xf numFmtId="0" fontId="0" fillId="8" borderId="0" xfId="0" applyFill="1" applyAlignment="1" applyProtection="1">
      <alignment horizontal="center"/>
      <protection hidden="1"/>
    </xf>
    <xf numFmtId="165" fontId="0" fillId="0" borderId="0" xfId="0" applyNumberFormat="1" applyAlignment="1" applyProtection="1">
      <alignment horizontal="center"/>
      <protection hidden="1"/>
    </xf>
    <xf numFmtId="2" fontId="0" fillId="0" borderId="0" xfId="0" applyNumberFormat="1" applyAlignment="1" applyProtection="1">
      <alignment horizontal="center"/>
      <protection hidden="1"/>
    </xf>
    <xf numFmtId="2" fontId="0" fillId="0" borderId="0" xfId="0" applyNumberFormat="1" applyAlignment="1">
      <alignment horizontal="right" vertical="center"/>
    </xf>
    <xf numFmtId="0" fontId="0" fillId="8" borderId="0" xfId="0" applyFill="1" applyAlignment="1" applyProtection="1">
      <alignment horizontal="center" vertical="center"/>
      <protection hidden="1"/>
    </xf>
    <xf numFmtId="0" fontId="0" fillId="8" borderId="0" xfId="0" applyFill="1" applyAlignment="1">
      <alignment horizontal="center" vertical="center"/>
    </xf>
    <xf numFmtId="0" fontId="2" fillId="8" borderId="0" xfId="0" applyFont="1" applyFill="1" applyAlignment="1">
      <alignment horizontal="center" vertical="center"/>
    </xf>
    <xf numFmtId="0" fontId="0" fillId="0" borderId="0" xfId="0" applyAlignment="1">
      <alignment horizontal="center"/>
    </xf>
    <xf numFmtId="0" fontId="16" fillId="4" borderId="0" xfId="3" applyFont="1" applyAlignment="1">
      <alignment horizontal="center"/>
    </xf>
    <xf numFmtId="0" fontId="0" fillId="0" borderId="0" xfId="0" applyAlignment="1">
      <alignment horizontal="center"/>
    </xf>
    <xf numFmtId="0" fontId="18" fillId="3" borderId="0" xfId="2" applyFont="1" applyBorder="1" applyAlignment="1">
      <alignment horizontal="center"/>
    </xf>
    <xf numFmtId="0" fontId="1" fillId="7" borderId="0" xfId="5" applyBorder="1" applyAlignment="1">
      <alignment horizontal="center"/>
    </xf>
    <xf numFmtId="0" fontId="15" fillId="5" borderId="0" xfId="4" applyBorder="1" applyAlignment="1">
      <alignment horizontal="center"/>
    </xf>
    <xf numFmtId="2" fontId="5" fillId="0" borderId="0" xfId="0" applyNumberFormat="1" applyFont="1" applyAlignment="1" applyProtection="1">
      <alignment horizontal="center" vertical="center"/>
      <protection hidden="1"/>
    </xf>
    <xf numFmtId="165" fontId="5" fillId="0" borderId="0" xfId="0" applyNumberFormat="1" applyFont="1" applyAlignment="1" applyProtection="1">
      <alignment horizontal="center"/>
      <protection hidden="1"/>
    </xf>
    <xf numFmtId="0" fontId="25" fillId="3" borderId="4" xfId="2" applyFont="1" applyBorder="1" applyAlignment="1">
      <alignment horizontal="center" vertical="center"/>
    </xf>
    <xf numFmtId="0" fontId="26" fillId="5" borderId="4" xfId="4" applyFont="1" applyBorder="1" applyAlignment="1">
      <alignment horizontal="center" vertical="center"/>
    </xf>
    <xf numFmtId="0" fontId="2" fillId="0" borderId="0" xfId="0" applyFont="1"/>
    <xf numFmtId="10" fontId="2" fillId="0" borderId="0" xfId="0" applyNumberFormat="1" applyFont="1"/>
    <xf numFmtId="10" fontId="2" fillId="0" borderId="0" xfId="1" applyNumberFormat="1" applyFont="1" applyAlignment="1">
      <alignment horizontal="center" vertical="center"/>
    </xf>
    <xf numFmtId="2" fontId="11" fillId="3" borderId="0" xfId="2" applyNumberFormat="1"/>
    <xf numFmtId="2" fontId="2" fillId="0" borderId="0" xfId="0" applyNumberFormat="1" applyFont="1" applyAlignment="1">
      <alignment horizontal="center" vertical="center"/>
    </xf>
    <xf numFmtId="165" fontId="2" fillId="0" borderId="0" xfId="0" applyNumberFormat="1" applyFont="1" applyAlignment="1">
      <alignment horizontal="center" vertical="center"/>
    </xf>
    <xf numFmtId="170" fontId="0" fillId="0" borderId="0" xfId="0" applyNumberFormat="1"/>
    <xf numFmtId="170" fontId="0" fillId="0" borderId="0" xfId="1" applyNumberFormat="1" applyFont="1"/>
    <xf numFmtId="171" fontId="0" fillId="0" borderId="0" xfId="1" applyNumberFormat="1" applyFont="1"/>
    <xf numFmtId="172" fontId="0" fillId="0" borderId="0" xfId="1" applyNumberFormat="1" applyFont="1"/>
    <xf numFmtId="165" fontId="0" fillId="0" borderId="0" xfId="1" applyNumberFormat="1" applyFont="1"/>
    <xf numFmtId="2" fontId="0" fillId="0" borderId="0" xfId="1" applyNumberFormat="1" applyFont="1"/>
    <xf numFmtId="0" fontId="0" fillId="10" borderId="0" xfId="0" applyFill="1"/>
    <xf numFmtId="0" fontId="12" fillId="4" borderId="0" xfId="3"/>
    <xf numFmtId="2" fontId="12" fillId="4" borderId="0" xfId="3" applyNumberFormat="1"/>
    <xf numFmtId="165" fontId="12" fillId="4" borderId="0" xfId="3" applyNumberFormat="1"/>
    <xf numFmtId="2" fontId="27" fillId="3" borderId="0" xfId="2" applyNumberFormat="1" applyFont="1" applyBorder="1" applyAlignment="1">
      <alignment horizontal="center"/>
    </xf>
    <xf numFmtId="165" fontId="27" fillId="3" borderId="0" xfId="2" applyNumberFormat="1" applyFont="1" applyBorder="1" applyAlignment="1">
      <alignment horizontal="center"/>
    </xf>
    <xf numFmtId="165" fontId="15" fillId="5" borderId="0" xfId="4" applyNumberFormat="1" applyBorder="1" applyAlignment="1">
      <alignment horizontal="center"/>
    </xf>
    <xf numFmtId="2" fontId="15" fillId="5" borderId="0" xfId="4" applyNumberFormat="1" applyBorder="1" applyAlignment="1">
      <alignment horizontal="center"/>
    </xf>
    <xf numFmtId="0" fontId="25" fillId="3" borderId="4" xfId="2" applyFont="1" applyBorder="1" applyAlignment="1">
      <alignment horizontal="center" vertical="center"/>
    </xf>
    <xf numFmtId="1" fontId="2" fillId="0" borderId="0" xfId="0" applyNumberFormat="1" applyFont="1" applyFill="1" applyBorder="1" applyAlignment="1" applyProtection="1">
      <alignment horizontal="center" vertical="center"/>
      <protection hidden="1"/>
    </xf>
    <xf numFmtId="165" fontId="0" fillId="0" borderId="0" xfId="0" applyNumberFormat="1" applyAlignment="1">
      <alignment horizontal="center"/>
    </xf>
    <xf numFmtId="165" fontId="1" fillId="7" borderId="0" xfId="5" applyNumberFormat="1" applyAlignment="1">
      <alignment horizontal="center"/>
    </xf>
    <xf numFmtId="0" fontId="15" fillId="5" borderId="4" xfId="4" applyBorder="1" applyAlignment="1">
      <alignment horizontal="center"/>
    </xf>
    <xf numFmtId="2" fontId="0" fillId="6" borderId="1" xfId="0" applyNumberFormat="1" applyFill="1" applyBorder="1" applyAlignment="1" applyProtection="1">
      <alignment horizontal="center"/>
      <protection locked="0"/>
    </xf>
    <xf numFmtId="0" fontId="0" fillId="0" borderId="0" xfId="0" applyAlignment="1">
      <alignment horizontal="center" vertical="center"/>
    </xf>
    <xf numFmtId="0" fontId="9" fillId="0" borderId="0" xfId="0" applyFont="1" applyAlignment="1">
      <alignment vertical="center"/>
    </xf>
    <xf numFmtId="0" fontId="0" fillId="0" borderId="0" xfId="0" applyAlignment="1">
      <alignment vertical="center"/>
    </xf>
    <xf numFmtId="1" fontId="0" fillId="0" borderId="0" xfId="0" applyNumberFormat="1" applyAlignment="1">
      <alignment vertical="center"/>
    </xf>
    <xf numFmtId="167" fontId="5" fillId="0" borderId="0" xfId="1" applyNumberFormat="1" applyFont="1" applyAlignment="1">
      <alignment horizontal="center" vertical="center"/>
    </xf>
    <xf numFmtId="167" fontId="28" fillId="0" borderId="0" xfId="1" applyNumberFormat="1" applyFont="1" applyAlignment="1">
      <alignment horizontal="center" vertical="center"/>
    </xf>
    <xf numFmtId="0" fontId="29" fillId="4" borderId="4" xfId="3" applyFont="1" applyBorder="1" applyAlignment="1">
      <alignment horizontal="center" vertical="center"/>
    </xf>
    <xf numFmtId="0" fontId="29" fillId="4" borderId="4" xfId="3" applyFont="1" applyBorder="1" applyAlignment="1" applyProtection="1">
      <alignment horizontal="center" vertical="center"/>
      <protection hidden="1"/>
    </xf>
    <xf numFmtId="0" fontId="25" fillId="3" borderId="4" xfId="2" applyFont="1" applyBorder="1" applyAlignment="1" applyProtection="1">
      <alignment horizontal="center" vertical="center"/>
      <protection hidden="1"/>
    </xf>
    <xf numFmtId="1" fontId="0" fillId="0" borderId="0" xfId="0" applyNumberFormat="1" applyFont="1" applyAlignment="1">
      <alignment horizontal="center" vertical="center"/>
    </xf>
    <xf numFmtId="2" fontId="0" fillId="0" borderId="0" xfId="0" applyNumberFormat="1" applyFont="1" applyFill="1" applyBorder="1" applyAlignment="1" applyProtection="1">
      <alignment horizontal="center" vertical="center"/>
      <protection hidden="1"/>
    </xf>
    <xf numFmtId="0" fontId="0" fillId="0" borderId="0" xfId="0" applyFont="1"/>
    <xf numFmtId="2" fontId="0" fillId="0" borderId="0" xfId="0" applyNumberFormat="1" applyFont="1" applyAlignment="1">
      <alignment horizontal="center" vertical="center"/>
    </xf>
    <xf numFmtId="0" fontId="2" fillId="0" borderId="0" xfId="0" applyFont="1" applyAlignment="1">
      <alignment horizontal="center"/>
    </xf>
    <xf numFmtId="165" fontId="0" fillId="6" borderId="1" xfId="0" applyNumberFormat="1" applyFill="1" applyBorder="1" applyAlignment="1" applyProtection="1">
      <alignment horizontal="center"/>
      <protection locked="0"/>
    </xf>
    <xf numFmtId="173" fontId="0" fillId="0" borderId="0" xfId="0" applyNumberFormat="1" applyProtection="1">
      <protection hidden="1"/>
    </xf>
    <xf numFmtId="165" fontId="0" fillId="0" borderId="1" xfId="0" applyNumberFormat="1" applyBorder="1" applyAlignment="1" applyProtection="1">
      <alignment horizontal="center"/>
      <protection hidden="1"/>
    </xf>
    <xf numFmtId="171" fontId="0" fillId="0" borderId="0" xfId="0" applyNumberFormat="1" applyAlignment="1">
      <alignment horizontal="center"/>
    </xf>
    <xf numFmtId="0" fontId="14" fillId="8" borderId="0" xfId="0" applyFont="1" applyFill="1" applyAlignment="1">
      <alignment horizontal="center" wrapText="1"/>
    </xf>
    <xf numFmtId="174" fontId="0" fillId="0" borderId="0" xfId="0" applyNumberFormat="1"/>
    <xf numFmtId="165" fontId="0" fillId="8" borderId="0" xfId="0" applyNumberFormat="1" applyFill="1" applyAlignment="1">
      <alignment horizontal="center" vertical="center"/>
    </xf>
    <xf numFmtId="1" fontId="0" fillId="8" borderId="0" xfId="0" applyNumberFormat="1" applyFont="1" applyFill="1" applyAlignment="1">
      <alignment horizontal="center" vertical="center"/>
    </xf>
    <xf numFmtId="165" fontId="0" fillId="8" borderId="0" xfId="0" applyNumberFormat="1" applyFill="1"/>
    <xf numFmtId="0" fontId="2" fillId="8" borderId="0" xfId="0" applyFont="1" applyFill="1" applyBorder="1" applyAlignment="1" applyProtection="1">
      <alignment horizontal="center" vertical="center"/>
      <protection hidden="1"/>
    </xf>
    <xf numFmtId="2" fontId="0" fillId="8" borderId="0" xfId="0" applyNumberFormat="1" applyFill="1" applyAlignment="1">
      <alignment horizontal="center" vertical="center"/>
    </xf>
    <xf numFmtId="0" fontId="0" fillId="8" borderId="0" xfId="0" applyFill="1"/>
    <xf numFmtId="2" fontId="0" fillId="8" borderId="0" xfId="0" applyNumberFormat="1" applyFont="1" applyFill="1" applyBorder="1" applyAlignment="1" applyProtection="1">
      <alignment horizontal="center" vertical="center"/>
      <protection hidden="1"/>
    </xf>
    <xf numFmtId="165" fontId="0" fillId="8" borderId="0" xfId="0" applyNumberFormat="1" applyFill="1" applyAlignment="1">
      <alignment horizontal="center"/>
    </xf>
    <xf numFmtId="0" fontId="0" fillId="0" borderId="0" xfId="0" quotePrefix="1"/>
    <xf numFmtId="0" fontId="0" fillId="0" borderId="14" xfId="0" applyBorder="1"/>
    <xf numFmtId="164" fontId="0" fillId="0" borderId="0" xfId="0" applyNumberFormat="1" applyAlignment="1">
      <alignment horizontal="center"/>
    </xf>
    <xf numFmtId="164" fontId="0" fillId="0" borderId="0" xfId="0" applyNumberFormat="1"/>
    <xf numFmtId="3" fontId="0" fillId="2" borderId="1" xfId="0" applyNumberFormat="1" applyFont="1" applyFill="1" applyBorder="1" applyAlignment="1" applyProtection="1">
      <alignment horizontal="center"/>
      <protection locked="0"/>
    </xf>
    <xf numFmtId="2" fontId="0" fillId="2" borderId="1" xfId="0" applyNumberFormat="1" applyFont="1" applyFill="1" applyBorder="1" applyAlignment="1" applyProtection="1">
      <alignment horizontal="center" vertical="center"/>
      <protection locked="0"/>
    </xf>
    <xf numFmtId="1" fontId="0" fillId="2" borderId="1" xfId="0" applyNumberFormat="1" applyFont="1" applyFill="1" applyBorder="1" applyAlignment="1" applyProtection="1">
      <alignment horizontal="center" vertical="center"/>
      <protection locked="0"/>
    </xf>
    <xf numFmtId="0" fontId="0" fillId="0" borderId="0" xfId="0" applyBorder="1" applyAlignment="1">
      <alignment horizontal="center"/>
    </xf>
    <xf numFmtId="0" fontId="29" fillId="0" borderId="0" xfId="3" applyFont="1" applyFill="1" applyBorder="1" applyAlignment="1">
      <alignment horizontal="center"/>
    </xf>
    <xf numFmtId="0" fontId="29" fillId="0" borderId="0" xfId="3" applyFont="1" applyFill="1" applyBorder="1" applyAlignment="1">
      <alignment horizontal="center" vertical="center"/>
    </xf>
    <xf numFmtId="166" fontId="0" fillId="0" borderId="0" xfId="0" applyNumberFormat="1" applyBorder="1" applyAlignment="1">
      <alignment horizontal="center"/>
    </xf>
    <xf numFmtId="2" fontId="0" fillId="0" borderId="0" xfId="0" applyNumberFormat="1" applyBorder="1" applyAlignment="1">
      <alignment horizontal="center"/>
    </xf>
    <xf numFmtId="0" fontId="0" fillId="0" borderId="0" xfId="0" applyBorder="1"/>
    <xf numFmtId="165" fontId="0" fillId="0" borderId="0" xfId="0" applyNumberFormat="1" applyBorder="1" applyAlignment="1">
      <alignment horizontal="center"/>
    </xf>
    <xf numFmtId="0" fontId="0" fillId="0" borderId="0" xfId="0" applyFill="1"/>
    <xf numFmtId="0" fontId="0" fillId="0" borderId="0" xfId="0" applyFill="1" applyBorder="1" applyAlignment="1">
      <alignment horizontal="center"/>
    </xf>
    <xf numFmtId="2" fontId="0" fillId="0" borderId="0" xfId="0" applyNumberFormat="1" applyFill="1" applyBorder="1" applyAlignment="1">
      <alignment horizontal="center"/>
    </xf>
    <xf numFmtId="165" fontId="0" fillId="0" borderId="0" xfId="0" applyNumberFormat="1" applyFill="1" applyBorder="1" applyAlignment="1">
      <alignment horizontal="center"/>
    </xf>
    <xf numFmtId="0" fontId="0" fillId="0" borderId="0" xfId="0" applyFill="1" applyBorder="1"/>
    <xf numFmtId="0" fontId="0" fillId="0" borderId="3" xfId="0" applyBorder="1"/>
    <xf numFmtId="0" fontId="0" fillId="0" borderId="3" xfId="0" applyBorder="1" applyAlignment="1">
      <alignment horizontal="center"/>
    </xf>
    <xf numFmtId="0" fontId="0" fillId="0" borderId="3" xfId="0" applyFill="1" applyBorder="1" applyAlignment="1">
      <alignment horizontal="center"/>
    </xf>
    <xf numFmtId="166" fontId="0" fillId="0" borderId="3" xfId="0" applyNumberFormat="1" applyBorder="1" applyAlignment="1">
      <alignment horizontal="center"/>
    </xf>
    <xf numFmtId="2" fontId="0" fillId="0" borderId="3" xfId="0" applyNumberFormat="1" applyFill="1" applyBorder="1" applyAlignment="1">
      <alignment horizontal="center"/>
    </xf>
    <xf numFmtId="165" fontId="0" fillId="0" borderId="3" xfId="0" applyNumberFormat="1" applyFill="1" applyBorder="1" applyAlignment="1">
      <alignment horizontal="center"/>
    </xf>
    <xf numFmtId="165" fontId="0" fillId="0" borderId="3" xfId="0" applyNumberFormat="1" applyBorder="1" applyAlignment="1">
      <alignment horizontal="center"/>
    </xf>
    <xf numFmtId="0" fontId="0" fillId="0" borderId="3" xfId="0" applyFill="1" applyBorder="1"/>
    <xf numFmtId="2" fontId="0" fillId="0" borderId="3" xfId="0" applyNumberFormat="1" applyBorder="1" applyAlignment="1">
      <alignment horizontal="center"/>
    </xf>
    <xf numFmtId="0" fontId="30" fillId="0" borderId="0" xfId="0" applyFont="1" applyFill="1" applyBorder="1" applyAlignment="1">
      <alignment horizontal="center"/>
    </xf>
    <xf numFmtId="0" fontId="2" fillId="0" borderId="0" xfId="0" applyFont="1" applyFill="1" applyBorder="1" applyAlignment="1">
      <alignment horizontal="center" vertical="center" wrapText="1"/>
    </xf>
    <xf numFmtId="165" fontId="0" fillId="0" borderId="0" xfId="0" applyNumberFormat="1" applyFill="1" applyAlignment="1">
      <alignment horizontal="center"/>
    </xf>
    <xf numFmtId="166" fontId="0" fillId="2" borderId="1" xfId="0" applyNumberFormat="1" applyFont="1" applyFill="1" applyBorder="1" applyAlignment="1" applyProtection="1">
      <alignment horizontal="center"/>
      <protection locked="0"/>
    </xf>
    <xf numFmtId="171" fontId="0" fillId="0" borderId="0" xfId="0" applyNumberFormat="1" applyProtection="1">
      <protection hidden="1"/>
    </xf>
    <xf numFmtId="1" fontId="0" fillId="2" borderId="1" xfId="0" applyNumberFormat="1" applyFont="1" applyFill="1" applyBorder="1" applyAlignment="1" applyProtection="1">
      <alignment horizontal="center" vertical="center"/>
      <protection hidden="1"/>
    </xf>
    <xf numFmtId="168" fontId="0" fillId="2" borderId="1" xfId="0" applyNumberFormat="1" applyFont="1" applyFill="1" applyBorder="1" applyAlignment="1" applyProtection="1">
      <alignment horizontal="center" vertical="center"/>
      <protection hidden="1"/>
    </xf>
    <xf numFmtId="2" fontId="0" fillId="6" borderId="1" xfId="0" applyNumberFormat="1" applyFont="1" applyFill="1" applyBorder="1" applyAlignment="1" applyProtection="1">
      <alignment horizontal="center" vertical="center"/>
      <protection hidden="1"/>
    </xf>
    <xf numFmtId="2" fontId="0" fillId="0" borderId="1" xfId="0" applyNumberFormat="1" applyFont="1" applyFill="1" applyBorder="1" applyAlignment="1" applyProtection="1">
      <alignment horizontal="center" vertical="center"/>
      <protection hidden="1"/>
    </xf>
    <xf numFmtId="169" fontId="0" fillId="6" borderId="1" xfId="6" applyNumberFormat="1" applyFont="1" applyFill="1" applyBorder="1" applyAlignment="1" applyProtection="1">
      <alignment horizontal="center" vertical="center"/>
      <protection hidden="1"/>
    </xf>
    <xf numFmtId="166" fontId="0" fillId="6" borderId="1" xfId="0" applyNumberFormat="1" applyFill="1" applyBorder="1" applyAlignment="1" applyProtection="1">
      <alignment horizontal="center"/>
      <protection hidden="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vertical="center"/>
    </xf>
    <xf numFmtId="0" fontId="19" fillId="0" borderId="0" xfId="0" applyFont="1" applyAlignment="1" applyProtection="1">
      <alignment horizontal="center"/>
      <protection hidden="1"/>
    </xf>
    <xf numFmtId="0" fontId="2" fillId="0" borderId="0" xfId="0" applyFont="1" applyAlignment="1"/>
    <xf numFmtId="0" fontId="0" fillId="0" borderId="0" xfId="0" applyFont="1" applyAlignment="1"/>
    <xf numFmtId="1" fontId="2" fillId="0" borderId="0" xfId="0" applyNumberFormat="1" applyFont="1" applyAlignment="1">
      <alignment horizontal="center"/>
    </xf>
    <xf numFmtId="0" fontId="30" fillId="11" borderId="15" xfId="0" applyFont="1" applyFill="1" applyBorder="1" applyAlignment="1"/>
    <xf numFmtId="2" fontId="0" fillId="6" borderId="17" xfId="0" applyNumberFormat="1" applyFont="1" applyFill="1" applyBorder="1" applyAlignment="1" applyProtection="1">
      <alignment horizontal="center" vertical="center"/>
      <protection hidden="1"/>
    </xf>
    <xf numFmtId="2" fontId="32" fillId="0" borderId="0" xfId="0" applyNumberFormat="1" applyFont="1" applyBorder="1" applyAlignment="1" applyProtection="1">
      <alignment horizontal="center"/>
      <protection hidden="1"/>
    </xf>
    <xf numFmtId="1" fontId="5" fillId="0" borderId="0" xfId="0" applyNumberFormat="1" applyFont="1" applyBorder="1" applyAlignment="1" applyProtection="1">
      <alignment horizontal="center"/>
      <protection hidden="1"/>
    </xf>
    <xf numFmtId="169" fontId="0" fillId="2" borderId="1" xfId="6" applyNumberFormat="1" applyFont="1" applyFill="1" applyBorder="1" applyAlignment="1" applyProtection="1">
      <alignment horizontal="center"/>
      <protection hidden="1"/>
    </xf>
    <xf numFmtId="0" fontId="2" fillId="2" borderId="1" xfId="0" applyNumberFormat="1" applyFont="1" applyFill="1" applyBorder="1" applyAlignment="1" applyProtection="1">
      <alignment horizontal="center" vertical="center"/>
    </xf>
    <xf numFmtId="0" fontId="24" fillId="4" borderId="4" xfId="3" applyFont="1" applyBorder="1" applyAlignment="1">
      <alignment horizontal="center" vertical="center"/>
    </xf>
    <xf numFmtId="0" fontId="25" fillId="3" borderId="4" xfId="2" applyFont="1" applyBorder="1" applyAlignment="1">
      <alignment horizontal="center" vertical="center"/>
    </xf>
    <xf numFmtId="0" fontId="26" fillId="5" borderId="4" xfId="4" applyFont="1" applyBorder="1" applyAlignment="1">
      <alignment horizontal="center" vertical="center"/>
    </xf>
    <xf numFmtId="0" fontId="2" fillId="0" borderId="0" xfId="0" applyFont="1" applyAlignment="1">
      <alignment horizontal="center" wrapText="1"/>
    </xf>
    <xf numFmtId="0" fontId="16" fillId="4" borderId="0" xfId="3" applyFont="1" applyAlignment="1">
      <alignment horizontal="center"/>
    </xf>
    <xf numFmtId="0" fontId="18" fillId="3" borderId="5" xfId="2" applyFont="1" applyBorder="1" applyAlignment="1">
      <alignment horizontal="center" wrapText="1"/>
    </xf>
    <xf numFmtId="0" fontId="18" fillId="3" borderId="6" xfId="2" applyFont="1" applyBorder="1" applyAlignment="1">
      <alignment horizontal="center" wrapText="1"/>
    </xf>
    <xf numFmtId="0" fontId="18" fillId="3" borderId="7" xfId="2" applyFont="1" applyBorder="1" applyAlignment="1">
      <alignment horizontal="center" wrapText="1"/>
    </xf>
    <xf numFmtId="0" fontId="15" fillId="5" borderId="4" xfId="4" applyBorder="1" applyAlignment="1">
      <alignment horizontal="center" wrapText="1"/>
    </xf>
    <xf numFmtId="0" fontId="21" fillId="5" borderId="4" xfId="4" applyFont="1" applyBorder="1" applyAlignment="1">
      <alignment horizontal="center"/>
    </xf>
    <xf numFmtId="0" fontId="17" fillId="3" borderId="8" xfId="2" applyFont="1" applyBorder="1" applyAlignment="1">
      <alignment horizontal="center"/>
    </xf>
    <xf numFmtId="0" fontId="17" fillId="3" borderId="9" xfId="2" applyFont="1" applyBorder="1" applyAlignment="1">
      <alignment horizontal="center"/>
    </xf>
    <xf numFmtId="0" fontId="1" fillId="7" borderId="5" xfId="5" applyBorder="1" applyAlignment="1">
      <alignment horizontal="center" wrapText="1"/>
    </xf>
    <xf numFmtId="0" fontId="1" fillId="7" borderId="6" xfId="5" applyBorder="1" applyAlignment="1">
      <alignment horizontal="center" wrapText="1"/>
    </xf>
    <xf numFmtId="0" fontId="1" fillId="7" borderId="7" xfId="5" applyBorder="1" applyAlignment="1">
      <alignment horizontal="center" wrapText="1"/>
    </xf>
    <xf numFmtId="0" fontId="22" fillId="7" borderId="10" xfId="5" applyFont="1" applyBorder="1" applyAlignment="1">
      <alignment horizontal="center"/>
    </xf>
    <xf numFmtId="0" fontId="22" fillId="7" borderId="8" xfId="5" applyFont="1" applyBorder="1" applyAlignment="1">
      <alignment horizontal="center"/>
    </xf>
    <xf numFmtId="0" fontId="22" fillId="7" borderId="9" xfId="5" applyFont="1" applyBorder="1" applyAlignment="1">
      <alignment horizontal="center"/>
    </xf>
    <xf numFmtId="0" fontId="23" fillId="9" borderId="0" xfId="0" applyFont="1" applyFill="1" applyAlignment="1" applyProtection="1">
      <alignment horizontal="center" vertical="center"/>
      <protection hidden="1"/>
    </xf>
    <xf numFmtId="0" fontId="6" fillId="0" borderId="0" xfId="0" applyFont="1" applyAlignment="1" applyProtection="1">
      <alignment horizontal="center" vertical="center"/>
      <protection hidden="1"/>
    </xf>
    <xf numFmtId="0" fontId="5" fillId="0" borderId="0" xfId="0" applyFont="1" applyAlignment="1" applyProtection="1">
      <alignment vertical="top" wrapText="1"/>
      <protection hidden="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0" fillId="0" borderId="0" xfId="0" applyAlignment="1">
      <alignment horizont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30" fillId="11" borderId="15" xfId="0" applyFont="1" applyFill="1" applyBorder="1" applyAlignment="1">
      <alignment horizontal="center"/>
    </xf>
    <xf numFmtId="0" fontId="29" fillId="4" borderId="4" xfId="3" applyFont="1" applyBorder="1" applyAlignment="1">
      <alignment horizontal="center"/>
    </xf>
    <xf numFmtId="0" fontId="25" fillId="3" borderId="4" xfId="2" applyFont="1" applyBorder="1" applyAlignment="1">
      <alignment horizontal="center"/>
    </xf>
    <xf numFmtId="0" fontId="0" fillId="0" borderId="0" xfId="0" applyAlignment="1">
      <alignment horizontal="center" vertical="center"/>
    </xf>
    <xf numFmtId="0" fontId="31" fillId="0" borderId="0" xfId="0" applyFont="1" applyAlignment="1">
      <alignment horizontal="center"/>
    </xf>
    <xf numFmtId="0" fontId="2" fillId="0" borderId="0" xfId="0" applyFont="1" applyAlignment="1">
      <alignment horizontal="center"/>
    </xf>
    <xf numFmtId="0" fontId="29" fillId="4" borderId="4" xfId="3" applyFont="1" applyBorder="1" applyAlignment="1">
      <alignment horizontal="center" vertical="center"/>
    </xf>
    <xf numFmtId="0" fontId="25" fillId="3" borderId="11" xfId="2" applyFont="1" applyBorder="1" applyAlignment="1">
      <alignment horizontal="center"/>
    </xf>
    <xf numFmtId="0" fontId="25" fillId="3" borderId="12" xfId="2" applyFont="1" applyBorder="1" applyAlignment="1">
      <alignment horizontal="center"/>
    </xf>
    <xf numFmtId="0" fontId="25" fillId="3" borderId="13" xfId="2" applyFont="1" applyBorder="1" applyAlignment="1">
      <alignment horizontal="center"/>
    </xf>
  </cellXfs>
  <cellStyles count="7">
    <cellStyle name="20% — акцент5" xfId="5" builtinId="46"/>
    <cellStyle name="Денежный" xfId="6" builtinId="4"/>
    <cellStyle name="Нейтральный" xfId="4" builtinId="28"/>
    <cellStyle name="Обычный" xfId="0" builtinId="0"/>
    <cellStyle name="Плохой" xfId="3" builtinId="27"/>
    <cellStyle name="Процентный" xfId="1" builtinId="5"/>
    <cellStyle name="Хороший" xfId="2" builtinId="26"/>
  </cellStyles>
  <dxfs count="13">
    <dxf>
      <font>
        <b/>
        <i val="0"/>
        <color auto="1"/>
      </font>
      <fill>
        <patternFill>
          <bgColor theme="4" tint="0.79998168889431442"/>
        </patternFill>
      </fill>
    </dxf>
    <dxf>
      <font>
        <b/>
        <i val="0"/>
        <color auto="1"/>
      </font>
      <fill>
        <patternFill>
          <bgColor theme="9" tint="0.59996337778862885"/>
        </patternFill>
      </fill>
    </dxf>
    <dxf>
      <font>
        <b/>
        <i val="0"/>
        <color auto="1"/>
      </font>
      <fill>
        <patternFill>
          <bgColor rgb="FFEF7979"/>
        </patternFill>
      </fill>
    </dxf>
    <dxf>
      <font>
        <color theme="0"/>
      </font>
    </dxf>
    <dxf>
      <font>
        <color theme="0"/>
      </font>
    </dxf>
    <dxf>
      <font>
        <color theme="0"/>
      </font>
    </dxf>
    <dxf>
      <font>
        <color theme="0"/>
      </font>
    </dxf>
    <dxf>
      <font>
        <color theme="0"/>
      </font>
    </dxf>
    <dxf>
      <font>
        <b val="0"/>
        <i val="0"/>
        <color theme="0"/>
      </font>
    </dxf>
    <dxf>
      <font>
        <b val="0"/>
        <i val="0"/>
        <color theme="0"/>
      </font>
    </dxf>
    <dxf>
      <numFmt numFmtId="1" formatCode="0"/>
    </dxf>
    <dxf>
      <numFmt numFmtId="2" formatCode="0.00"/>
    </dxf>
    <dxf>
      <font>
        <color theme="0"/>
      </font>
      <fill>
        <patternFill>
          <bgColor theme="0"/>
        </patternFill>
      </fill>
      <border>
        <left/>
        <right/>
        <bottom/>
      </border>
    </dxf>
  </dxfs>
  <tableStyles count="0" defaultTableStyle="TableStyleMedium2" defaultPivotStyle="PivotStyleLight16"/>
  <colors>
    <mruColors>
      <color rgb="FFFFCCCC"/>
      <color rgb="FFFF0000"/>
      <color rgb="FFEF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hartsheet" Target="chartsheets/sheet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hartsheet" Target="chartsheets/sheet3.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hartsheet" Target="chartsheets/sheet2.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hartsheet" Target="chartsheets/sheet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1"/>
          <c:order val="0"/>
          <c:tx>
            <c:strRef>
              <c:f>Nursery!$C$1</c:f>
              <c:strCache>
                <c:ptCount val="1"/>
                <c:pt idx="0">
                  <c:v>ADG, kg</c:v>
                </c:pt>
              </c:strCache>
            </c:strRef>
          </c:tx>
          <c:marker>
            <c:symbol val="none"/>
          </c:marker>
          <c:xVal>
            <c:numRef>
              <c:f>Nursery!$B$2:$B$184</c:f>
              <c:numCache>
                <c:formatCode>0.00</c:formatCode>
                <c:ptCount val="183"/>
                <c:pt idx="0">
                  <c:v>5.65</c:v>
                </c:pt>
                <c:pt idx="1">
                  <c:v>5.6560000000000006</c:v>
                </c:pt>
                <c:pt idx="2">
                  <c:v>5.6871038663317339</c:v>
                </c:pt>
                <c:pt idx="3">
                  <c:v>5.7418524808334492</c:v>
                </c:pt>
                <c:pt idx="4">
                  <c:v>5.8200064682290211</c:v>
                </c:pt>
                <c:pt idx="5">
                  <c:v>5.9210215175209182</c:v>
                </c:pt>
                <c:pt idx="6">
                  <c:v>6.0443533177116082</c:v>
                </c:pt>
                <c:pt idx="7">
                  <c:v>6.1894575578035607</c:v>
                </c:pt>
                <c:pt idx="8">
                  <c:v>6.3557899267992433</c:v>
                </c:pt>
                <c:pt idx="9">
                  <c:v>6.5428061137011246</c:v>
                </c:pt>
                <c:pt idx="10">
                  <c:v>6.7499618075116734</c:v>
                </c:pt>
                <c:pt idx="11">
                  <c:v>6.9767126972333582</c:v>
                </c:pt>
                <c:pt idx="12">
                  <c:v>7.2225144718686467</c:v>
                </c:pt>
                <c:pt idx="13">
                  <c:v>7.4868228204200085</c:v>
                </c:pt>
                <c:pt idx="14">
                  <c:v>7.7690934318899121</c:v>
                </c:pt>
                <c:pt idx="15">
                  <c:v>8.0687819952808244</c:v>
                </c:pt>
                <c:pt idx="16">
                  <c:v>8.3853441995952149</c:v>
                </c:pt>
                <c:pt idx="17">
                  <c:v>8.7182357338355523</c:v>
                </c:pt>
                <c:pt idx="18">
                  <c:v>9.0669122870043033</c:v>
                </c:pt>
                <c:pt idx="19">
                  <c:v>9.4308295481039384</c:v>
                </c:pt>
                <c:pt idx="20">
                  <c:v>9.8094432061369261</c:v>
                </c:pt>
                <c:pt idx="21">
                  <c:v>10.202208950105733</c:v>
                </c:pt>
                <c:pt idx="22">
                  <c:v>10.608582469012829</c:v>
                </c:pt>
                <c:pt idx="23">
                  <c:v>11.028019451860683</c:v>
                </c:pt>
                <c:pt idx="24">
                  <c:v>11.459975587651762</c:v>
                </c:pt>
                <c:pt idx="25">
                  <c:v>11.90160394586934</c:v>
                </c:pt>
                <c:pt idx="26">
                  <c:v>12.353121103797351</c:v>
                </c:pt>
                <c:pt idx="27">
                  <c:v>12.814748488248393</c:v>
                </c:pt>
                <c:pt idx="28">
                  <c:v>13.286712484152808</c:v>
                </c:pt>
                <c:pt idx="29">
                  <c:v>13.769244545579264</c:v>
                </c:pt>
                <c:pt idx="30">
                  <c:v>14.262581309241252</c:v>
                </c:pt>
                <c:pt idx="31">
                  <c:v>14.766964710545206</c:v>
                </c:pt>
                <c:pt idx="32">
                  <c:v>15.282642102237125</c:v>
                </c:pt>
                <c:pt idx="33">
                  <c:v>15.809866375705884</c:v>
                </c:pt>
                <c:pt idx="34">
                  <c:v>16.348896085002753</c:v>
                </c:pt>
                <c:pt idx="35">
                  <c:v>16.899995573637892</c:v>
                </c:pt>
                <c:pt idx="36">
                  <c:v>17.463435104216057</c:v>
                </c:pt>
                <c:pt idx="37">
                  <c:v>18.03949099097505</c:v>
                </c:pt>
                <c:pt idx="38">
                  <c:v>18.628445735291937</c:v>
                </c:pt>
                <c:pt idx="39">
                  <c:v>19.230588164223473</c:v>
                </c:pt>
                <c:pt idx="40">
                  <c:v>19.846213572148681</c:v>
                </c:pt>
                <c:pt idx="41">
                  <c:v>20.475623865583042</c:v>
                </c:pt>
                <c:pt idx="42">
                  <c:v>21.118767245594924</c:v>
                </c:pt>
                <c:pt idx="43">
                  <c:v>21.776680221739266</c:v>
                </c:pt>
                <c:pt idx="44">
                  <c:v>22.443890449812482</c:v>
                </c:pt>
                <c:pt idx="45">
                  <c:v>23.120270571214487</c:v>
                </c:pt>
                <c:pt idx="46">
                  <c:v>23.80569124315759</c:v>
                </c:pt>
                <c:pt idx="47">
                  <c:v>24.500021227874193</c:v>
                </c:pt>
                <c:pt idx="48">
                  <c:v>25.203127481653272</c:v>
                </c:pt>
                <c:pt idx="49">
                  <c:v>25.914875243654286</c:v>
                </c:pt>
                <c:pt idx="50">
                  <c:v>26.635128124445604</c:v>
                </c:pt>
                <c:pt idx="51">
                  <c:v>27.363748194213375</c:v>
                </c:pt>
                <c:pt idx="52">
                  <c:v>28.100596070586015</c:v>
                </c:pt>
                <c:pt idx="53">
                  <c:v>28.845531006018703</c:v>
                </c:pt>
                <c:pt idx="54">
                  <c:v>29.598410974682274</c:v>
                </c:pt>
                <c:pt idx="55">
                  <c:v>30.359092758800429</c:v>
                </c:pt>
                <c:pt idx="56">
                  <c:v>31.127432034379694</c:v>
                </c:pt>
                <c:pt idx="57">
                  <c:v>31.903283456276839</c:v>
                </c:pt>
                <c:pt idx="58">
                  <c:v>32.686500742548724</c:v>
                </c:pt>
                <c:pt idx="59">
                  <c:v>33.476936758030718</c:v>
                </c:pt>
                <c:pt idx="60">
                  <c:v>34.274443597090482</c:v>
                </c:pt>
                <c:pt idx="61">
                  <c:v>35.078872665504804</c:v>
                </c:pt>
                <c:pt idx="62">
                  <c:v>35.890074761408812</c:v>
                </c:pt>
                <c:pt idx="63">
                  <c:v>36.707900155267652</c:v>
                </c:pt>
                <c:pt idx="64">
                  <c:v>37.532198668822481</c:v>
                </c:pt>
                <c:pt idx="65">
                  <c:v>38.362819752964327</c:v>
                </c:pt>
                <c:pt idx="66">
                  <c:v>39.199612564490117</c:v>
                </c:pt>
                <c:pt idx="67">
                  <c:v>40.04242604169827</c:v>
                </c:pt>
                <c:pt idx="68">
                  <c:v>40.89110897878146</c:v>
                </c:pt>
                <c:pt idx="69">
                  <c:v>41.745510098977427</c:v>
                </c:pt>
                <c:pt idx="70">
                  <c:v>42.605478126439635</c:v>
                </c:pt>
                <c:pt idx="71">
                  <c:v>43.470861856791842</c:v>
                </c:pt>
                <c:pt idx="72">
                  <c:v>44.341510226332886</c:v>
                </c:pt>
                <c:pt idx="73">
                  <c:v>45.21727237985958</c:v>
                </c:pt>
                <c:pt idx="74">
                  <c:v>46.097997737077939</c:v>
                </c:pt>
                <c:pt idx="75">
                  <c:v>46.983536057575122</c:v>
                </c:pt>
                <c:pt idx="76">
                  <c:v>47.873737504326087</c:v>
                </c:pt>
                <c:pt idx="77">
                  <c:v>48.768452705711795</c:v>
                </c:pt>
                <c:pt idx="78">
                  <c:v>49.667532816027069</c:v>
                </c:pt>
                <c:pt idx="79">
                  <c:v>50.570829574459083</c:v>
                </c:pt>
                <c:pt idx="80">
                  <c:v>51.478195362518946</c:v>
                </c:pt>
                <c:pt idx="81">
                  <c:v>52.389483259911238</c:v>
                </c:pt>
                <c:pt idx="82">
                  <c:v>53.304547098828337</c:v>
                </c:pt>
                <c:pt idx="83">
                  <c:v>54.223241516658341</c:v>
                </c:pt>
                <c:pt idx="84">
                  <c:v>55.145422007097707</c:v>
                </c:pt>
                <c:pt idx="85">
                  <c:v>56.070944969660843</c:v>
                </c:pt>
                <c:pt idx="86">
                  <c:v>56.999667757582202</c:v>
                </c:pt>
                <c:pt idx="87">
                  <c:v>57.931448724106971</c:v>
                </c:pt>
                <c:pt idx="88">
                  <c:v>58.866147267169168</c:v>
                </c:pt>
                <c:pt idx="89">
                  <c:v>59.803623872457344</c:v>
                </c:pt>
                <c:pt idx="90">
                  <c:v>60.743740154870281</c:v>
                </c:pt>
                <c:pt idx="91">
                  <c:v>61.686358898366166</c:v>
                </c:pt>
                <c:pt idx="92">
                  <c:v>62.631344094211038</c:v>
                </c:pt>
                <c:pt idx="93">
                  <c:v>63.578560977633487</c:v>
                </c:pt>
                <c:pt idx="94">
                  <c:v>64.527876062894478</c:v>
                </c:pt>
                <c:pt idx="95">
                  <c:v>65.479157176782138</c:v>
                </c:pt>
                <c:pt idx="96">
                  <c:v>66.432273490543707</c:v>
                </c:pt>
                <c:pt idx="97">
                  <c:v>67.387095550267077</c:v>
                </c:pt>
                <c:pt idx="98">
                  <c:v>68.343495305726933</c:v>
                </c:pt>
                <c:pt idx="99">
                  <c:v>69.301346137710397</c:v>
                </c:pt>
                <c:pt idx="100">
                  <c:v>70.260522883839826</c:v>
                </c:pt>
                <c:pt idx="101">
                  <c:v>71.220901862910239</c:v>
                </c:pt>
                <c:pt idx="102">
                  <c:v>72.18236089776066</c:v>
                </c:pt>
                <c:pt idx="103">
                  <c:v>73.144779336699344</c:v>
                </c:pt>
                <c:pt idx="104">
                  <c:v>74.108038073504417</c:v>
                </c:pt>
                <c:pt idx="105">
                  <c:v>75.07201956602141</c:v>
                </c:pt>
                <c:pt idx="106">
                  <c:v>76.036607853380929</c:v>
                </c:pt>
                <c:pt idx="107">
                  <c:v>77.001688571859901</c:v>
                </c:pt>
                <c:pt idx="108">
                  <c:v>77.967148969410999</c:v>
                </c:pt>
                <c:pt idx="109">
                  <c:v>78.932877918884913</c:v>
                </c:pt>
                <c:pt idx="110">
                  <c:v>79.89876592997183</c:v>
                </c:pt>
                <c:pt idx="111">
                  <c:v>80.864705159887507</c:v>
                </c:pt>
                <c:pt idx="112">
                  <c:v>81.830589422831395</c:v>
                </c:pt>
                <c:pt idx="113">
                  <c:v>82.796314198243707</c:v>
                </c:pt>
                <c:pt idx="114">
                  <c:v>83.761776637889014</c:v>
                </c:pt>
                <c:pt idx="115">
                  <c:v>84.72687557179438</c:v>
                </c:pt>
                <c:pt idx="116">
                  <c:v>85.691511513070409</c:v>
                </c:pt>
                <c:pt idx="117">
                  <c:v>86.655586661643497</c:v>
                </c:pt>
                <c:pt idx="118">
                  <c:v>87.619004906928069</c:v>
                </c:pt>
                <c:pt idx="119">
                  <c:v>88.581671829467837</c:v>
                </c:pt>
                <c:pt idx="120">
                  <c:v>89.543494701574872</c:v>
                </c:pt>
                <c:pt idx="121">
                  <c:v>90.504382486995482</c:v>
                </c:pt>
                <c:pt idx="122">
                  <c:v>91.464245839632298</c:v>
                </c:pt>
                <c:pt idx="123">
                  <c:v>92.422997101351399</c:v>
                </c:pt>
                <c:pt idx="124">
                  <c:v>93.380550298903586</c:v>
                </c:pt>
                <c:pt idx="125">
                  <c:v>94.336821139988658</c:v>
                </c:pt>
                <c:pt idx="126">
                  <c:v>95.291727008491875</c:v>
                </c:pt>
                <c:pt idx="127">
                  <c:v>96.245186958920812</c:v>
                </c:pt>
                <c:pt idx="128">
                  <c:v>97.197121710071457</c:v>
                </c:pt>
                <c:pt idx="129">
                  <c:v>98.147453637951756</c:v>
                </c:pt>
                <c:pt idx="130">
                  <c:v>99.096106767990889</c:v>
                </c:pt>
                <c:pt idx="131">
                  <c:v>100.0430067665614</c:v>
                </c:pt>
                <c:pt idx="132">
                  <c:v>100.98808093184263</c:v>
                </c:pt>
                <c:pt idx="133">
                  <c:v>101.931258184052</c:v>
                </c:pt>
                <c:pt idx="134">
                  <c:v>102.87246905507105</c:v>
                </c:pt>
                <c:pt idx="135">
                  <c:v>103.81164567749326</c:v>
                </c:pt>
                <c:pt idx="136">
                  <c:v>104.74872177311906</c:v>
                </c:pt>
                <c:pt idx="137">
                  <c:v>105.68363264092434</c:v>
                </c:pt>
                <c:pt idx="138">
                  <c:v>106.61631514452745</c:v>
                </c:pt>
                <c:pt idx="139">
                  <c:v>107.54670769917989</c:v>
                </c:pt>
                <c:pt idx="140">
                  <c:v>108.47475025830499</c:v>
                </c:pt>
                <c:pt idx="141">
                  <c:v>109.40038429960839</c:v>
                </c:pt>
                <c:pt idx="142">
                  <c:v>110.32355281078438</c:v>
                </c:pt>
                <c:pt idx="143">
                  <c:v>111.24420027484101</c:v>
                </c:pt>
                <c:pt idx="144">
                  <c:v>112.162272655066</c:v>
                </c:pt>
                <c:pt idx="145">
                  <c:v>113.07771737965686</c:v>
                </c:pt>
                <c:pt idx="146">
                  <c:v>113.99048332603523</c:v>
                </c:pt>
                <c:pt idx="147">
                  <c:v>114.90052080486808</c:v>
                </c:pt>
                <c:pt idx="148">
                  <c:v>115.80778154381539</c:v>
                </c:pt>
                <c:pt idx="149">
                  <c:v>116.71221867102484</c:v>
                </c:pt>
                <c:pt idx="150">
                  <c:v>117.61378669839311</c:v>
                </c:pt>
                <c:pt idx="151">
                  <c:v>118.5124415046127</c:v>
                </c:pt>
                <c:pt idx="152">
                  <c:v>119.40814031802313</c:v>
                </c:pt>
                <c:pt idx="153">
                  <c:v>120.3008416992844</c:v>
                </c:pt>
                <c:pt idx="154">
                  <c:v>121.19050552389018</c:v>
                </c:pt>
                <c:pt idx="155">
                  <c:v>122.077092964538</c:v>
                </c:pt>
                <c:pt idx="156">
                  <c:v>122.96056647337296</c:v>
                </c:pt>
                <c:pt idx="157">
                  <c:v>123.8408897641208</c:v>
                </c:pt>
                <c:pt idx="158">
                  <c:v>124.71802779412582</c:v>
                </c:pt>
                <c:pt idx="159">
                  <c:v>125.59194674630905</c:v>
                </c:pt>
                <c:pt idx="160">
                  <c:v>126.46261401106085</c:v>
                </c:pt>
                <c:pt idx="161">
                  <c:v>127.329998168082</c:v>
                </c:pt>
                <c:pt idx="162">
                  <c:v>128.19406896818703</c:v>
                </c:pt>
                <c:pt idx="163">
                  <c:v>129.05479731508245</c:v>
                </c:pt>
                <c:pt idx="164">
                  <c:v>129.91215524713317</c:v>
                </c:pt>
                <c:pt idx="165">
                  <c:v>130.76611591912854</c:v>
                </c:pt>
                <c:pt idx="166">
                  <c:v>131.61665358405969</c:v>
                </c:pt>
                <c:pt idx="167">
                  <c:v>132.46374357492016</c:v>
                </c:pt>
                <c:pt idx="168">
                  <c:v>133.30736228653979</c:v>
                </c:pt>
                <c:pt idx="169">
                  <c:v>134.14748715746208</c:v>
                </c:pt>
                <c:pt idx="170">
                  <c:v>134.984096651876</c:v>
                </c:pt>
                <c:pt idx="171">
                  <c:v>135.81717024161017</c:v>
                </c:pt>
                <c:pt idx="172">
                  <c:v>136.64668838819992</c:v>
                </c:pt>
                <c:pt idx="173">
                  <c:v>137.47263252503481</c:v>
                </c:pt>
                <c:pt idx="174">
                  <c:v>138.29498503959536</c:v>
                </c:pt>
                <c:pt idx="175">
                  <c:v>139.11372925578684</c:v>
                </c:pt>
                <c:pt idx="176">
                  <c:v>139.92884941637709</c:v>
                </c:pt>
                <c:pt idx="177">
                  <c:v>140.74033066554648</c:v>
                </c:pt>
                <c:pt idx="178">
                  <c:v>141.54815903155563</c:v>
                </c:pt>
                <c:pt idx="179">
                  <c:v>142.35232140953764</c:v>
                </c:pt>
                <c:pt idx="180">
                  <c:v>143.15280554442154</c:v>
                </c:pt>
                <c:pt idx="181">
                  <c:v>143.94960001399159</c:v>
                </c:pt>
                <c:pt idx="182">
                  <c:v>144.74269421208828</c:v>
                </c:pt>
              </c:numCache>
            </c:numRef>
          </c:xVal>
          <c:yVal>
            <c:numRef>
              <c:f>Nursery!$C$2:$C$183</c:f>
              <c:numCache>
                <c:formatCode>0.000</c:formatCode>
                <c:ptCount val="182"/>
                <c:pt idx="0">
                  <c:v>6.0000000000000001E-3</c:v>
                </c:pt>
                <c:pt idx="1">
                  <c:v>3.1103866331733343E-2</c:v>
                </c:pt>
                <c:pt idx="2">
                  <c:v>5.4748614501715309E-2</c:v>
                </c:pt>
                <c:pt idx="3">
                  <c:v>7.8153987395571889E-2</c:v>
                </c:pt>
                <c:pt idx="4">
                  <c:v>0.10101504929189709</c:v>
                </c:pt>
                <c:pt idx="5">
                  <c:v>0.12333180019069001</c:v>
                </c:pt>
                <c:pt idx="6">
                  <c:v>0.14510424009195244</c:v>
                </c:pt>
                <c:pt idx="7">
                  <c:v>0.1663323689956826</c:v>
                </c:pt>
                <c:pt idx="8">
                  <c:v>0.18701618690188138</c:v>
                </c:pt>
                <c:pt idx="9">
                  <c:v>0.20715569381054877</c:v>
                </c:pt>
                <c:pt idx="10">
                  <c:v>0.22675088972168478</c:v>
                </c:pt>
                <c:pt idx="11">
                  <c:v>0.24580177463528852</c:v>
                </c:pt>
                <c:pt idx="12">
                  <c:v>0.26430834855136176</c:v>
                </c:pt>
                <c:pt idx="13">
                  <c:v>0.28227061146990362</c:v>
                </c:pt>
                <c:pt idx="14">
                  <c:v>0.29968856339091232</c:v>
                </c:pt>
                <c:pt idx="15">
                  <c:v>0.31656220431439053</c:v>
                </c:pt>
                <c:pt idx="16">
                  <c:v>0.33289153424033735</c:v>
                </c:pt>
                <c:pt idx="17">
                  <c:v>0.34867655316875101</c:v>
                </c:pt>
                <c:pt idx="18">
                  <c:v>0.36391726109963507</c:v>
                </c:pt>
                <c:pt idx="19">
                  <c:v>0.37861365803298774</c:v>
                </c:pt>
                <c:pt idx="20">
                  <c:v>0.39276574396880726</c:v>
                </c:pt>
                <c:pt idx="21">
                  <c:v>0.40637351890709539</c:v>
                </c:pt>
                <c:pt idx="22">
                  <c:v>0.41943698284785391</c:v>
                </c:pt>
                <c:pt idx="23">
                  <c:v>0.43195613579107933</c:v>
                </c:pt>
                <c:pt idx="24">
                  <c:v>0.44162835821757873</c:v>
                </c:pt>
                <c:pt idx="25">
                  <c:v>0.45151715792801084</c:v>
                </c:pt>
                <c:pt idx="26">
                  <c:v>0.46162738445104101</c:v>
                </c:pt>
                <c:pt idx="27">
                  <c:v>0.4719639959044159</c:v>
                </c:pt>
                <c:pt idx="28">
                  <c:v>0.48253206142645505</c:v>
                </c:pt>
                <c:pt idx="29">
                  <c:v>0.49333676366198781</c:v>
                </c:pt>
                <c:pt idx="30">
                  <c:v>0.50438340130395432</c:v>
                </c:pt>
                <c:pt idx="31">
                  <c:v>0.5156773916919174</c:v>
                </c:pt>
                <c:pt idx="32">
                  <c:v>0.52722427346875989</c:v>
                </c:pt>
                <c:pt idx="33">
                  <c:v>0.53902970929686855</c:v>
                </c:pt>
                <c:pt idx="34">
                  <c:v>0.5510994886351398</c:v>
                </c:pt>
                <c:pt idx="35">
                  <c:v>0.56343953057816532</c:v>
                </c:pt>
                <c:pt idx="36">
                  <c:v>0.57605588675899355</c:v>
                </c:pt>
                <c:pt idx="37">
                  <c:v>0.58895474431688732</c:v>
                </c:pt>
                <c:pt idx="38">
                  <c:v>0.6021424289315358</c:v>
                </c:pt>
                <c:pt idx="39">
                  <c:v>0.61562540792520681</c:v>
                </c:pt>
                <c:pt idx="40">
                  <c:v>0.62941029343436183</c:v>
                </c:pt>
                <c:pt idx="41">
                  <c:v>0.64350384565228858</c:v>
                </c:pt>
                <c:pt idx="42">
                  <c:v>0.65791297614434174</c:v>
                </c:pt>
                <c:pt idx="43">
                  <c:v>0.66721022807321617</c:v>
                </c:pt>
                <c:pt idx="44">
                  <c:v>0.67638012140200487</c:v>
                </c:pt>
                <c:pt idx="45">
                  <c:v>0.68542067194310263</c:v>
                </c:pt>
                <c:pt idx="46">
                  <c:v>0.69432998471660312</c:v>
                </c:pt>
                <c:pt idx="47">
                  <c:v>0.70310625377907954</c:v>
                </c:pt>
                <c:pt idx="48">
                  <c:v>0.71174776200101419</c:v>
                </c:pt>
                <c:pt idx="49">
                  <c:v>0.72025288079131755</c:v>
                </c:pt>
                <c:pt idx="50">
                  <c:v>0.72862006976777138</c:v>
                </c:pt>
                <c:pt idx="51">
                  <c:v>0.73684787637263938</c:v>
                </c:pt>
                <c:pt idx="52">
                  <c:v>0.74493493543268841</c:v>
                </c:pt>
                <c:pt idx="53">
                  <c:v>0.75287996866357076</c:v>
                </c:pt>
                <c:pt idx="54">
                  <c:v>0.76068178411815524</c:v>
                </c:pt>
                <c:pt idx="55">
                  <c:v>0.76833927557926529</c:v>
                </c:pt>
                <c:pt idx="56">
                  <c:v>0.77585142189714418</c:v>
                </c:pt>
                <c:pt idx="57">
                  <c:v>0.78321728627188492</c:v>
                </c:pt>
                <c:pt idx="58">
                  <c:v>0.79043601548199405</c:v>
                </c:pt>
                <c:pt idx="59">
                  <c:v>0.79750683905976416</c:v>
                </c:pt>
                <c:pt idx="60">
                  <c:v>0.80442906841432205</c:v>
                </c:pt>
                <c:pt idx="61">
                  <c:v>0.81120209590400805</c:v>
                </c:pt>
                <c:pt idx="62">
                  <c:v>0.81782539385883979</c:v>
                </c:pt>
                <c:pt idx="63">
                  <c:v>0.82429851355482953</c:v>
                </c:pt>
                <c:pt idx="64">
                  <c:v>0.83062108414184621</c:v>
                </c:pt>
                <c:pt idx="65">
                  <c:v>0.83679281152578966</c:v>
                </c:pt>
                <c:pt idx="66">
                  <c:v>0.84281347720815347</c:v>
                </c:pt>
                <c:pt idx="67">
                  <c:v>0.84868293708318987</c:v>
                </c:pt>
                <c:pt idx="68">
                  <c:v>0.85440112019596626</c:v>
                </c:pt>
                <c:pt idx="69">
                  <c:v>0.85996802746220879</c:v>
                </c:pt>
                <c:pt idx="70">
                  <c:v>0.86538373035220673</c:v>
                </c:pt>
                <c:pt idx="71">
                  <c:v>0.87064836954104408</c:v>
                </c:pt>
                <c:pt idx="72">
                  <c:v>0.87576215352669351</c:v>
                </c:pt>
                <c:pt idx="73">
                  <c:v>0.88072535721835976</c:v>
                </c:pt>
                <c:pt idx="74">
                  <c:v>0.88553832049718295</c:v>
                </c:pt>
                <c:pt idx="75">
                  <c:v>0.89020144675096446</c:v>
                </c:pt>
                <c:pt idx="76">
                  <c:v>0.89471520138570781</c:v>
                </c:pt>
                <c:pt idx="77">
                  <c:v>0.89908011031527479</c:v>
                </c:pt>
                <c:pt idx="78">
                  <c:v>0.90329675843201329</c:v>
                </c:pt>
                <c:pt idx="79">
                  <c:v>0.90736578805986312</c:v>
                </c:pt>
                <c:pt idx="80">
                  <c:v>0.91128789739229177</c:v>
                </c:pt>
                <c:pt idx="81">
                  <c:v>0.9150638389170993</c:v>
                </c:pt>
                <c:pt idx="82">
                  <c:v>0.91869441783000383</c:v>
                </c:pt>
                <c:pt idx="83">
                  <c:v>0.92218049043936645</c:v>
                </c:pt>
                <c:pt idx="84">
                  <c:v>0.92552296256313582</c:v>
                </c:pt>
                <c:pt idx="85">
                  <c:v>0.92872278792135887</c:v>
                </c:pt>
                <c:pt idx="86">
                  <c:v>0.93178096652476938</c:v>
                </c:pt>
                <c:pt idx="87">
                  <c:v>0.93469854306219702</c:v>
                </c:pt>
                <c:pt idx="88">
                  <c:v>0.93747660528817534</c:v>
                </c:pt>
                <c:pt idx="89">
                  <c:v>0.94011628241293721</c:v>
                </c:pt>
                <c:pt idx="90">
                  <c:v>0.94261874349588481</c:v>
                </c:pt>
                <c:pt idx="91">
                  <c:v>0.94498519584487184</c:v>
                </c:pt>
                <c:pt idx="92">
                  <c:v>0.94721688342244903</c:v>
                </c:pt>
                <c:pt idx="93">
                  <c:v>0.94931508526099151</c:v>
                </c:pt>
                <c:pt idx="94">
                  <c:v>0.95128111388766001</c:v>
                </c:pt>
                <c:pt idx="95">
                  <c:v>0.95311631376156924</c:v>
                </c:pt>
                <c:pt idx="96">
                  <c:v>0.95482205972336942</c:v>
                </c:pt>
                <c:pt idx="97">
                  <c:v>0.95639975545985578</c:v>
                </c:pt>
                <c:pt idx="98">
                  <c:v>0.95785083198346399</c:v>
                </c:pt>
                <c:pt idx="99">
                  <c:v>0.9591767461294296</c:v>
                </c:pt>
                <c:pt idx="100">
                  <c:v>0.9603789790704127</c:v>
                </c:pt>
                <c:pt idx="101">
                  <c:v>0.96145903485042084</c:v>
                </c:pt>
                <c:pt idx="102">
                  <c:v>0.96241843893868406</c:v>
                </c:pt>
                <c:pt idx="103">
                  <c:v>0.96325873680507357</c:v>
                </c:pt>
                <c:pt idx="104">
                  <c:v>0.96398149251699294</c:v>
                </c:pt>
                <c:pt idx="105">
                  <c:v>0.9645882873595184</c:v>
                </c:pt>
                <c:pt idx="106">
                  <c:v>0.9650807184789727</c:v>
                </c:pt>
                <c:pt idx="107">
                  <c:v>0.96546039755109803</c:v>
                </c:pt>
                <c:pt idx="108">
                  <c:v>0.96572894947391319</c:v>
                </c:pt>
                <c:pt idx="109">
                  <c:v>0.96588801108691769</c:v>
                </c:pt>
                <c:pt idx="110">
                  <c:v>0.96593922991567638</c:v>
                </c:pt>
                <c:pt idx="111">
                  <c:v>0.96588426294388796</c:v>
                </c:pt>
                <c:pt idx="112">
                  <c:v>0.96572477541231194</c:v>
                </c:pt>
                <c:pt idx="113">
                  <c:v>0.96546243964530731</c:v>
                </c:pt>
                <c:pt idx="114">
                  <c:v>0.96509893390536661</c:v>
                </c:pt>
                <c:pt idx="115">
                  <c:v>0.96463594127602903</c:v>
                </c:pt>
                <c:pt idx="116">
                  <c:v>0.9640751485730874</c:v>
                </c:pt>
                <c:pt idx="117">
                  <c:v>0.96341824528457209</c:v>
                </c:pt>
                <c:pt idx="118">
                  <c:v>0.96266692253976771</c:v>
                </c:pt>
                <c:pt idx="119">
                  <c:v>0.96182287210703521</c:v>
                </c:pt>
                <c:pt idx="120">
                  <c:v>0.96088778542060993</c:v>
                </c:pt>
                <c:pt idx="121">
                  <c:v>0.9598633526368161</c:v>
                </c:pt>
                <c:pt idx="122">
                  <c:v>0.95875126171910097</c:v>
                </c:pt>
                <c:pt idx="123">
                  <c:v>0.95755319755218693</c:v>
                </c:pt>
                <c:pt idx="124">
                  <c:v>0.95627084108507177</c:v>
                </c:pt>
                <c:pt idx="125">
                  <c:v>0.9549058685032179</c:v>
                </c:pt>
                <c:pt idx="126">
                  <c:v>0.95345995042893605</c:v>
                </c:pt>
                <c:pt idx="127">
                  <c:v>0.9519347511506453</c:v>
                </c:pt>
                <c:pt idx="128">
                  <c:v>0.95033192788029908</c:v>
                </c:pt>
                <c:pt idx="129">
                  <c:v>0.94865313003913343</c:v>
                </c:pt>
                <c:pt idx="130">
                  <c:v>0.94689999857051532</c:v>
                </c:pt>
                <c:pt idx="131">
                  <c:v>0.9450741652812269</c:v>
                </c:pt>
                <c:pt idx="132">
                  <c:v>0.94317725220936666</c:v>
                </c:pt>
                <c:pt idx="133">
                  <c:v>0.94121087101905232</c:v>
                </c:pt>
                <c:pt idx="134">
                  <c:v>0.93917662242220956</c:v>
                </c:pt>
                <c:pt idx="135">
                  <c:v>0.93707609562579819</c:v>
                </c:pt>
                <c:pt idx="136">
                  <c:v>0.93491086780528576</c:v>
                </c:pt>
                <c:pt idx="137">
                  <c:v>0.9326825036031039</c:v>
                </c:pt>
                <c:pt idx="138">
                  <c:v>0.93039255465244253</c:v>
                </c:pt>
                <c:pt idx="139">
                  <c:v>0.92804255912510314</c:v>
                </c:pt>
                <c:pt idx="140">
                  <c:v>0.92563404130339677</c:v>
                </c:pt>
                <c:pt idx="141">
                  <c:v>0.92316851117598731</c:v>
                </c:pt>
                <c:pt idx="142">
                  <c:v>0.92064746405662845</c:v>
                </c:pt>
                <c:pt idx="143">
                  <c:v>0.9180723802249986</c:v>
                </c:pt>
                <c:pt idx="144">
                  <c:v>0.91544472459085569</c:v>
                </c:pt>
                <c:pt idx="145">
                  <c:v>0.9127659463783715</c:v>
                </c:pt>
                <c:pt idx="146">
                  <c:v>0.91003747883284802</c:v>
                </c:pt>
                <c:pt idx="147">
                  <c:v>0.90726073894731485</c:v>
                </c:pt>
                <c:pt idx="148">
                  <c:v>0.90443712720944802</c:v>
                </c:pt>
                <c:pt idx="149">
                  <c:v>0.90156802736827046</c:v>
                </c:pt>
                <c:pt idx="150">
                  <c:v>0.89865480621958227</c:v>
                </c:pt>
                <c:pt idx="151">
                  <c:v>0.89569881341043356</c:v>
                </c:pt>
                <c:pt idx="152">
                  <c:v>0.89270138126127563</c:v>
                </c:pt>
                <c:pt idx="153">
                  <c:v>0.8896638246057762</c:v>
                </c:pt>
                <c:pt idx="154">
                  <c:v>0.88658744064781558</c:v>
                </c:pt>
                <c:pt idx="155">
                  <c:v>0.88347350883496745</c:v>
                </c:pt>
                <c:pt idx="156">
                  <c:v>0.88032329074783888</c:v>
                </c:pt>
                <c:pt idx="157">
                  <c:v>0.877138030005014</c:v>
                </c:pt>
                <c:pt idx="158">
                  <c:v>0.87391895218323157</c:v>
                </c:pt>
                <c:pt idx="159">
                  <c:v>0.87066726475180189</c:v>
                </c:pt>
                <c:pt idx="160">
                  <c:v>0.86738415702114935</c:v>
                </c:pt>
                <c:pt idx="161">
                  <c:v>0.86407080010502568</c:v>
                </c:pt>
                <c:pt idx="162">
                  <c:v>0.86072834689542788</c:v>
                </c:pt>
                <c:pt idx="163">
                  <c:v>0.85735793205071786</c:v>
                </c:pt>
                <c:pt idx="164">
                  <c:v>0.85396067199536674</c:v>
                </c:pt>
                <c:pt idx="165">
                  <c:v>0.8505376649311529</c:v>
                </c:pt>
                <c:pt idx="166">
                  <c:v>0.84708999086046788</c:v>
                </c:pt>
                <c:pt idx="167">
                  <c:v>0.84361871161962654</c:v>
                </c:pt>
                <c:pt idx="168">
                  <c:v>0.84012487092229549</c:v>
                </c:pt>
                <c:pt idx="169">
                  <c:v>0.83660949441392063</c:v>
                </c:pt>
                <c:pt idx="170">
                  <c:v>0.83307358973416967</c:v>
                </c:pt>
                <c:pt idx="171">
                  <c:v>0.82951814658974854</c:v>
                </c:pt>
                <c:pt idx="172">
                  <c:v>0.82594413683489165</c:v>
                </c:pt>
                <c:pt idx="173">
                  <c:v>0.82235251456054925</c:v>
                </c:pt>
                <c:pt idx="174">
                  <c:v>0.81874421619147597</c:v>
                </c:pt>
                <c:pt idx="175">
                  <c:v>0.81512016059025427</c:v>
                </c:pt>
                <c:pt idx="176">
                  <c:v>0.81148124916938968</c:v>
                </c:pt>
                <c:pt idx="177">
                  <c:v>0.8078283660091472</c:v>
                </c:pt>
                <c:pt idx="178">
                  <c:v>0.80416237798200996</c:v>
                </c:pt>
                <c:pt idx="179">
                  <c:v>0.80048413488390224</c:v>
                </c:pt>
                <c:pt idx="180">
                  <c:v>0.79679446957004529</c:v>
                </c:pt>
                <c:pt idx="181">
                  <c:v>0.79309419809669635</c:v>
                </c:pt>
              </c:numCache>
            </c:numRef>
          </c:yVal>
          <c:smooth val="1"/>
          <c:extLst>
            <c:ext xmlns:c16="http://schemas.microsoft.com/office/drawing/2014/chart" uri="{C3380CC4-5D6E-409C-BE32-E72D297353CC}">
              <c16:uniqueId val="{00000000-F8C4-4AA0-9F64-6073114FEF45}"/>
            </c:ext>
          </c:extLst>
        </c:ser>
        <c:dLbls>
          <c:showLegendKey val="0"/>
          <c:showVal val="0"/>
          <c:showCatName val="0"/>
          <c:showSerName val="0"/>
          <c:showPercent val="0"/>
          <c:showBubbleSize val="0"/>
        </c:dLbls>
        <c:axId val="500089360"/>
        <c:axId val="500090344"/>
      </c:scatterChart>
      <c:valAx>
        <c:axId val="500089360"/>
        <c:scaling>
          <c:orientation val="minMax"/>
          <c:max val="145"/>
          <c:min val="5"/>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90344"/>
        <c:crosses val="autoZero"/>
        <c:crossBetween val="midCat"/>
      </c:valAx>
      <c:valAx>
        <c:axId val="500090344"/>
        <c:scaling>
          <c:orientation val="minMax"/>
          <c:min val="1.0000000000000002E-2"/>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89360"/>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r>
              <a:rPr lang="en-US" b="1"/>
              <a:t>Average Daily Feed Intake</a:t>
            </a:r>
          </a:p>
        </c:rich>
      </c:tx>
      <c:overlay val="0"/>
      <c:spPr>
        <a:noFill/>
        <a:ln>
          <a:noFill/>
        </a:ln>
        <a:effectLst/>
      </c:spPr>
      <c:txPr>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'E-Barrows'!$I$1</c:f>
              <c:strCache>
                <c:ptCount val="1"/>
                <c:pt idx="0">
                  <c:v>Barrows</c:v>
                </c:pt>
              </c:strCache>
            </c:strRef>
          </c:tx>
          <c:spPr>
            <a:ln w="28575" cap="rnd">
              <a:solidFill>
                <a:schemeClr val="accent1"/>
              </a:solidFill>
              <a:round/>
            </a:ln>
            <a:effectLst/>
          </c:spPr>
          <c:marker>
            <c:symbol val="none"/>
          </c:marker>
          <c:xVal>
            <c:numRef>
              <c:f>[0]!BarrowsBW2</c:f>
              <c:numCache>
                <c:formatCode>0.00</c:formatCode>
                <c:ptCount val="135"/>
                <c:pt idx="0">
                  <c:v>5.9425449780322959</c:v>
                </c:pt>
                <c:pt idx="1">
                  <c:v>6.0312043586488446</c:v>
                </c:pt>
                <c:pt idx="2">
                  <c:v>6.1457977658647787</c:v>
                </c:pt>
                <c:pt idx="3">
                  <c:v>6.2857077228563014</c:v>
                </c:pt>
                <c:pt idx="4">
                  <c:v>6.4503167527996208</c:v>
                </c:pt>
                <c:pt idx="5">
                  <c:v>6.6390073788709403</c:v>
                </c:pt>
                <c:pt idx="6">
                  <c:v>6.8511621242464651</c:v>
                </c:pt>
                <c:pt idx="7">
                  <c:v>7.0861635121023996</c:v>
                </c:pt>
                <c:pt idx="8">
                  <c:v>7.3433940656149517</c:v>
                </c:pt>
                <c:pt idx="9">
                  <c:v>7.622236307960323</c:v>
                </c:pt>
                <c:pt idx="10">
                  <c:v>7.9220727623147207</c:v>
                </c:pt>
                <c:pt idx="11">
                  <c:v>8.2422859518543508</c:v>
                </c:pt>
                <c:pt idx="12">
                  <c:v>8.5822583997554158</c:v>
                </c:pt>
                <c:pt idx="13">
                  <c:v>8.9413726291941238</c:v>
                </c:pt>
                <c:pt idx="14">
                  <c:v>9.3190111633466763</c:v>
                </c:pt>
                <c:pt idx="15">
                  <c:v>9.7145565253892805</c:v>
                </c:pt>
                <c:pt idx="16">
                  <c:v>10.127391238498141</c:v>
                </c:pt>
                <c:pt idx="17">
                  <c:v>10.556897825849465</c:v>
                </c:pt>
                <c:pt idx="18">
                  <c:v>11.002458810619455</c:v>
                </c:pt>
                <c:pt idx="19">
                  <c:v>11.463456715984316</c:v>
                </c:pt>
                <c:pt idx="20">
                  <c:v>11.939274065120255</c:v>
                </c:pt>
                <c:pt idx="21">
                  <c:v>12.429293381203475</c:v>
                </c:pt>
                <c:pt idx="22">
                  <c:v>12.93028505171282</c:v>
                </c:pt>
                <c:pt idx="23">
                  <c:v>13.44249476606848</c:v>
                </c:pt>
                <c:pt idx="24">
                  <c:v>13.966173715088882</c:v>
                </c:pt>
                <c:pt idx="25">
                  <c:v>14.501578714176203</c:v>
                </c:pt>
                <c:pt idx="26">
                  <c:v>15.048972329260261</c:v>
                </c:pt>
                <c:pt idx="27">
                  <c:v>15.60862300556245</c:v>
                </c:pt>
                <c:pt idx="28">
                  <c:v>16.180805199242954</c:v>
                </c:pt>
                <c:pt idx="29">
                  <c:v>16.765799511995745</c:v>
                </c:pt>
                <c:pt idx="30">
                  <c:v>17.363892828657391</c:v>
                </c:pt>
                <c:pt idx="31">
                  <c:v>17.975378457897168</c:v>
                </c:pt>
                <c:pt idx="32">
                  <c:v>18.600556276057425</c:v>
                </c:pt>
                <c:pt idx="33">
                  <c:v>19.239732874214841</c:v>
                </c:pt>
                <c:pt idx="34">
                  <c:v>19.89322170853454</c:v>
                </c:pt>
                <c:pt idx="35">
                  <c:v>20.561343253990987</c:v>
                </c:pt>
                <c:pt idx="36">
                  <c:v>21.244425161530856</c:v>
                </c:pt>
                <c:pt idx="37">
                  <c:v>21.942802418755118</c:v>
                </c:pt>
                <c:pt idx="38">
                  <c:v>22.65681751419902</c:v>
                </c:pt>
                <c:pt idx="39">
                  <c:v>23.386411686162123</c:v>
                </c:pt>
                <c:pt idx="40">
                  <c:v>24.157720482159402</c:v>
                </c:pt>
                <c:pt idx="41">
                  <c:v>24.940610958849899</c:v>
                </c:pt>
                <c:pt idx="42">
                  <c:v>25.734930626210435</c:v>
                </c:pt>
                <c:pt idx="43">
                  <c:v>26.540523845064332</c:v>
                </c:pt>
                <c:pt idx="44">
                  <c:v>27.357231954388702</c:v>
                </c:pt>
                <c:pt idx="45">
                  <c:v>28.184893398714486</c:v>
                </c:pt>
                <c:pt idx="46">
                  <c:v>29.023343855536812</c:v>
                </c:pt>
                <c:pt idx="47">
                  <c:v>29.872416362651112</c:v>
                </c:pt>
                <c:pt idx="48">
                  <c:v>30.731941445326861</c:v>
                </c:pt>
                <c:pt idx="49">
                  <c:v>31.60174724322971</c:v>
                </c:pt>
                <c:pt idx="50">
                  <c:v>32.481659637001293</c:v>
                </c:pt>
                <c:pt idx="51">
                  <c:v>33.371502374404294</c:v>
                </c:pt>
                <c:pt idx="52">
                  <c:v>34.27109719594079</c:v>
                </c:pt>
                <c:pt idx="53">
                  <c:v>35.180263959850777</c:v>
                </c:pt>
                <c:pt idx="54">
                  <c:v>36.098820766398731</c:v>
                </c:pt>
                <c:pt idx="55">
                  <c:v>37.0265840813558</c:v>
                </c:pt>
                <c:pt idx="56">
                  <c:v>37.963368858586996</c:v>
                </c:pt>
                <c:pt idx="57">
                  <c:v>38.908988661652934</c:v>
                </c:pt>
                <c:pt idx="58">
                  <c:v>39.863255784337632</c:v>
                </c:pt>
                <c:pt idx="59">
                  <c:v>40.825981370015612</c:v>
                </c:pt>
                <c:pt idx="60">
                  <c:v>41.796975529772723</c:v>
                </c:pt>
                <c:pt idx="61">
                  <c:v>42.77604745919831</c:v>
                </c:pt>
                <c:pt idx="62">
                  <c:v>43.763005553767456</c:v>
                </c:pt>
                <c:pt idx="63">
                  <c:v>44.7576575227353</c:v>
                </c:pt>
                <c:pt idx="64">
                  <c:v>45.759810501467783</c:v>
                </c:pt>
                <c:pt idx="65">
                  <c:v>46.769271162135865</c:v>
                </c:pt>
                <c:pt idx="66">
                  <c:v>47.785845822703358</c:v>
                </c:pt>
                <c:pt idx="67">
                  <c:v>48.809340554141265</c:v>
                </c:pt>
                <c:pt idx="68">
                  <c:v>49.839561285804827</c:v>
                </c:pt>
                <c:pt idx="69">
                  <c:v>50.876313908912685</c:v>
                </c:pt>
                <c:pt idx="70">
                  <c:v>51.919404378070588</c:v>
                </c:pt>
                <c:pt idx="71">
                  <c:v>52.968638810785691</c:v>
                </c:pt>
                <c:pt idx="72">
                  <c:v>54.023823584920798</c:v>
                </c:pt>
                <c:pt idx="73">
                  <c:v>55.084765434041167</c:v>
                </c:pt>
                <c:pt idx="74">
                  <c:v>56.151271540610004</c:v>
                </c:pt>
                <c:pt idx="75">
                  <c:v>57.223149626992452</c:v>
                </c:pt>
                <c:pt idx="76">
                  <c:v>58.30020804423097</c:v>
                </c:pt>
                <c:pt idx="77">
                  <c:v>59.382255858558715</c:v>
                </c:pt>
                <c:pt idx="78">
                  <c:v>60.469102935620889</c:v>
                </c:pt>
                <c:pt idx="79">
                  <c:v>61.560560022377558</c:v>
                </c:pt>
                <c:pt idx="80">
                  <c:v>62.656438826664392</c:v>
                </c:pt>
                <c:pt idx="81">
                  <c:v>63.756552094392042</c:v>
                </c:pt>
                <c:pt idx="82">
                  <c:v>64.860713684367099</c:v>
                </c:pt>
                <c:pt idx="83">
                  <c:v>65.968738640721526</c:v>
                </c:pt>
                <c:pt idx="84">
                  <c:v>67.080443262940634</c:v>
                </c:pt>
                <c:pt idx="85">
                  <c:v>68.195645173482447</c:v>
                </c:pt>
                <c:pt idx="86">
                  <c:v>69.314163382984603</c:v>
                </c:pt>
                <c:pt idx="87">
                  <c:v>70.435818353058067</c:v>
                </c:pt>
                <c:pt idx="88">
                  <c:v>71.560432056669441</c:v>
                </c:pt>
                <c:pt idx="89">
                  <c:v>72.687828036116997</c:v>
                </c:pt>
                <c:pt idx="90">
                  <c:v>73.817831458607799</c:v>
                </c:pt>
                <c:pt idx="91">
                  <c:v>74.950269169446372</c:v>
                </c:pt>
                <c:pt idx="92">
                  <c:v>76.084969742847761</c:v>
                </c:pt>
                <c:pt idx="93">
                  <c:v>77.221763530389765</c:v>
                </c:pt>
                <c:pt idx="94">
                  <c:v>78.360482707123239</c:v>
                </c:pt>
                <c:pt idx="95">
                  <c:v>79.500961315358879</c:v>
                </c:pt>
                <c:pt idx="96">
                  <c:v>80.643035306153848</c:v>
                </c:pt>
                <c:pt idx="97">
                  <c:v>81.786542578521747</c:v>
                </c:pt>
                <c:pt idx="98">
                  <c:v>82.931323016392525</c:v>
                </c:pt>
                <c:pt idx="99">
                  <c:v>84.077218523350041</c:v>
                </c:pt>
                <c:pt idx="100">
                  <c:v>85.224073055177485</c:v>
                </c:pt>
                <c:pt idx="101">
                  <c:v>86.371732650241555</c:v>
                </c:pt>
                <c:pt idx="102">
                  <c:v>87.52004545774922</c:v>
                </c:pt>
                <c:pt idx="103">
                  <c:v>88.668861763910883</c:v>
                </c:pt>
                <c:pt idx="104">
                  <c:v>89.818034016046113</c:v>
                </c:pt>
                <c:pt idx="105">
                  <c:v>90.967416844669373</c:v>
                </c:pt>
                <c:pt idx="106">
                  <c:v>92.116867083593206</c:v>
                </c:pt>
                <c:pt idx="107">
                  <c:v>93.266243788089383</c:v>
                </c:pt>
                <c:pt idx="108">
                  <c:v>94.415408251147269</c:v>
                </c:pt>
                <c:pt idx="109">
                  <c:v>95.564224017871567</c:v>
                </c:pt>
                <c:pt idx="110">
                  <c:v>96.712556898060484</c:v>
                </c:pt>
                <c:pt idx="111">
                  <c:v>97.860274977008217</c:v>
                </c:pt>
                <c:pt idx="112">
                  <c:v>99.007248624573791</c:v>
                </c:pt>
                <c:pt idx="113">
                  <c:v>100.15335050256107</c:v>
                </c:pt>
                <c:pt idx="114">
                  <c:v>101.29845557045405</c:v>
                </c:pt>
                <c:pt idx="115">
                  <c:v>102.44244108955142</c:v>
                </c:pt>
                <c:pt idx="116">
                  <c:v>103.58518662554634</c:v>
                </c:pt>
                <c:pt idx="117">
                  <c:v>104.72657404959587</c:v>
                </c:pt>
                <c:pt idx="118">
                  <c:v>105.86648753792561</c:v>
                </c:pt>
                <c:pt idx="119">
                  <c:v>107.00481357001502</c:v>
                </c:pt>
                <c:pt idx="120">
                  <c:v>108.14144092540845</c:v>
                </c:pt>
                <c:pt idx="121">
                  <c:v>109.27626067919756</c:v>
                </c:pt>
                <c:pt idx="122">
                  <c:v>110.40916619622007</c:v>
                </c:pt>
                <c:pt idx="123">
                  <c:v>111.54005312402005</c:v>
                </c:pt>
                <c:pt idx="124">
                  <c:v>112.66881938461427</c:v>
                </c:pt>
                <c:pt idx="125">
                  <c:v>113.79536516510929</c:v>
                </c:pt>
                <c:pt idx="126">
                  <c:v>114.91959290721334</c:v>
                </c:pt>
                <c:pt idx="127">
                  <c:v>116.04140729568708</c:v>
                </c:pt>
                <c:pt idx="128">
                  <c:v>117.16071524577572</c:v>
                </c:pt>
                <c:pt idx="129">
                  <c:v>118.27742588966635</c:v>
                </c:pt>
                <c:pt idx="130">
                  <c:v>119.39145056201224</c:v>
                </c:pt>
                <c:pt idx="131">
                  <c:v>120.50270278456624</c:v>
                </c:pt>
                <c:pt idx="132">
                  <c:v>121.6110982499637</c:v>
                </c:pt>
                <c:pt idx="133">
                  <c:v>122.71655480469713</c:v>
                </c:pt>
                <c:pt idx="134">
                  <c:v>123.81899243132042</c:v>
                </c:pt>
              </c:numCache>
            </c:numRef>
          </c:xVal>
          <c:yVal>
            <c:numRef>
              <c:f>[0]!BarrowsADFI2</c:f>
              <c:numCache>
                <c:formatCode>0.00</c:formatCode>
                <c:ptCount val="134"/>
                <c:pt idx="0">
                  <c:v>9.9530530769099387E-2</c:v>
                </c:pt>
                <c:pt idx="1">
                  <c:v>0.12989348658283709</c:v>
                </c:pt>
                <c:pt idx="2">
                  <c:v>0.16011511239666573</c:v>
                </c:pt>
                <c:pt idx="3">
                  <c:v>0.19017521821059849</c:v>
                </c:pt>
                <c:pt idx="4">
                  <c:v>0.2221101898566567</c:v>
                </c:pt>
                <c:pt idx="5">
                  <c:v>0.25302082746170701</c:v>
                </c:pt>
                <c:pt idx="6">
                  <c:v>0.28393146506675682</c:v>
                </c:pt>
                <c:pt idx="7">
                  <c:v>0.31484210267180984</c:v>
                </c:pt>
                <c:pt idx="8">
                  <c:v>0.34575274027686009</c:v>
                </c:pt>
                <c:pt idx="9">
                  <c:v>0.37666337788191112</c:v>
                </c:pt>
                <c:pt idx="10">
                  <c:v>0.40757401548696276</c:v>
                </c:pt>
                <c:pt idx="11">
                  <c:v>0.43848465309201295</c:v>
                </c:pt>
                <c:pt idx="12">
                  <c:v>0.46939529069706648</c:v>
                </c:pt>
                <c:pt idx="13">
                  <c:v>0.50030592830211296</c:v>
                </c:pt>
                <c:pt idx="14">
                  <c:v>0.53121656590716815</c:v>
                </c:pt>
                <c:pt idx="15">
                  <c:v>0.56212720351221901</c:v>
                </c:pt>
                <c:pt idx="16">
                  <c:v>0.59303784111726809</c:v>
                </c:pt>
                <c:pt idx="17">
                  <c:v>0.62394847872232062</c:v>
                </c:pt>
                <c:pt idx="18">
                  <c:v>0.65485911632737415</c:v>
                </c:pt>
                <c:pt idx="19">
                  <c:v>0.67958762641141002</c:v>
                </c:pt>
                <c:pt idx="20">
                  <c:v>0.70431613649545222</c:v>
                </c:pt>
                <c:pt idx="21">
                  <c:v>0.72904464657949553</c:v>
                </c:pt>
                <c:pt idx="22">
                  <c:v>0.75377315666353273</c:v>
                </c:pt>
                <c:pt idx="23">
                  <c:v>0.77850166674757804</c:v>
                </c:pt>
                <c:pt idx="24">
                  <c:v>0.8032301768316138</c:v>
                </c:pt>
                <c:pt idx="25">
                  <c:v>0.83166796342826399</c:v>
                </c:pt>
                <c:pt idx="26">
                  <c:v>0.86010575002491485</c:v>
                </c:pt>
                <c:pt idx="27">
                  <c:v>0.88854353662155761</c:v>
                </c:pt>
                <c:pt idx="28">
                  <c:v>0.91698132321820192</c:v>
                </c:pt>
                <c:pt idx="29">
                  <c:v>0.94541910981484922</c:v>
                </c:pt>
                <c:pt idx="30">
                  <c:v>0.97385689641150275</c:v>
                </c:pt>
                <c:pt idx="31">
                  <c:v>1.0022946830081474</c:v>
                </c:pt>
                <c:pt idx="32">
                  <c:v>1.0307324696047948</c:v>
                </c:pt>
                <c:pt idx="33">
                  <c:v>1.0616431072098398</c:v>
                </c:pt>
                <c:pt idx="34">
                  <c:v>1.0925537448148988</c:v>
                </c:pt>
                <c:pt idx="35">
                  <c:v>1.1296465099409534</c:v>
                </c:pt>
                <c:pt idx="36">
                  <c:v>1.1667392750670169</c:v>
                </c:pt>
                <c:pt idx="37">
                  <c:v>1.2038320401930815</c:v>
                </c:pt>
                <c:pt idx="38">
                  <c:v>1.2323888024303842</c:v>
                </c:pt>
                <c:pt idx="39">
                  <c:v>1.3317222437737068</c:v>
                </c:pt>
                <c:pt idx="40">
                  <c:v>1.3695936769073314</c:v>
                </c:pt>
                <c:pt idx="41">
                  <c:v>1.4076357623704892</c:v>
                </c:pt>
                <c:pt idx="42">
                  <c:v>1.4458206768822923</c:v>
                </c:pt>
                <c:pt idx="43">
                  <c:v>1.4841206102026687</c:v>
                </c:pt>
                <c:pt idx="44">
                  <c:v>1.5225078247950621</c:v>
                </c:pt>
                <c:pt idx="45">
                  <c:v>1.5609547148203309</c:v>
                </c:pt>
                <c:pt idx="46">
                  <c:v>1.5994338642180628</c:v>
                </c:pt>
                <c:pt idx="47">
                  <c:v>1.6379181036381663</c:v>
                </c:pt>
                <c:pt idx="48">
                  <c:v>1.6763805659938995</c:v>
                </c:pt>
                <c:pt idx="49">
                  <c:v>1.7147947404194683</c:v>
                </c:pt>
                <c:pt idx="50">
                  <c:v>1.7531345244234715</c:v>
                </c:pt>
                <c:pt idx="51">
                  <c:v>1.791374274046623</c:v>
                </c:pt>
                <c:pt idx="52">
                  <c:v>1.8294888518419039</c:v>
                </c:pt>
                <c:pt idx="53">
                  <c:v>1.8674536725130217</c:v>
                </c:pt>
                <c:pt idx="54">
                  <c:v>1.9052447460613486</c:v>
                </c:pt>
                <c:pt idx="55">
                  <c:v>1.9428387183085387</c:v>
                </c:pt>
                <c:pt idx="56">
                  <c:v>1.9802129086785865</c:v>
                </c:pt>
                <c:pt idx="57">
                  <c:v>2.0173453451399563</c:v>
                </c:pt>
                <c:pt idx="58">
                  <c:v>2.054214796227944</c:v>
                </c:pt>
                <c:pt idx="59">
                  <c:v>2.0908008000813938</c:v>
                </c:pt>
                <c:pt idx="60">
                  <c:v>2.1270836904500388</c:v>
                </c:pt>
                <c:pt idx="61">
                  <c:v>2.1630446196415467</c:v>
                </c:pt>
                <c:pt idx="62">
                  <c:v>2.1944772453961785</c:v>
                </c:pt>
                <c:pt idx="63">
                  <c:v>2.2355682040656877</c:v>
                </c:pt>
                <c:pt idx="64">
                  <c:v>2.2762097454294556</c:v>
                </c:pt>
                <c:pt idx="65">
                  <c:v>2.3163773620582764</c:v>
                </c:pt>
                <c:pt idx="66">
                  <c:v>2.3560479293804919</c:v>
                </c:pt>
                <c:pt idx="67">
                  <c:v>2.3951997224550494</c:v>
                </c:pt>
                <c:pt idx="68">
                  <c:v>2.4338124273846935</c:v>
                </c:pt>
                <c:pt idx="69">
                  <c:v>2.471867147522</c:v>
                </c:pt>
                <c:pt idx="70">
                  <c:v>2.5093464046429337</c:v>
                </c:pt>
                <c:pt idx="71">
                  <c:v>2.546234135282524</c:v>
                </c:pt>
                <c:pt idx="72">
                  <c:v>2.5825156824449129</c:v>
                </c:pt>
                <c:pt idx="73">
                  <c:v>2.6181777829155242</c:v>
                </c:pt>
                <c:pt idx="74">
                  <c:v>2.653208550416438</c:v>
                </c:pt>
                <c:pt idx="75">
                  <c:v>2.6875974548570789</c:v>
                </c:pt>
                <c:pt idx="76">
                  <c:v>2.7213352979412742</c:v>
                </c:pt>
                <c:pt idx="77">
                  <c:v>2.7544141853985109</c:v>
                </c:pt>
                <c:pt idx="78">
                  <c:v>2.7868274961119419</c:v>
                </c:pt>
                <c:pt idx="79">
                  <c:v>2.8185698484184303</c:v>
                </c:pt>
                <c:pt idx="80">
                  <c:v>2.8496370638567385</c:v>
                </c:pt>
                <c:pt idx="81">
                  <c:v>2.880026128639086</c:v>
                </c:pt>
                <c:pt idx="82">
                  <c:v>2.9097351531185618</c:v>
                </c:pt>
                <c:pt idx="83">
                  <c:v>2.9387633295208091</c:v>
                </c:pt>
                <c:pt idx="84">
                  <c:v>2.9671108882026536</c:v>
                </c:pt>
                <c:pt idx="85">
                  <c:v>2.9947790526935441</c:v>
                </c:pt>
                <c:pt idx="86">
                  <c:v>3.0217699937674318</c:v>
                </c:pt>
                <c:pt idx="87">
                  <c:v>3.0480867827836811</c:v>
                </c:pt>
                <c:pt idx="88">
                  <c:v>3.0737333445255355</c:v>
                </c:pt>
                <c:pt idx="89">
                  <c:v>3.0987144097537724</c:v>
                </c:pt>
                <c:pt idx="90">
                  <c:v>3.1230354676818282</c:v>
                </c:pt>
                <c:pt idx="91">
                  <c:v>3.1467027185665883</c:v>
                </c:pt>
                <c:pt idx="92">
                  <c:v>3.1697230265967589</c:v>
                </c:pt>
                <c:pt idx="93">
                  <c:v>3.1921038732479685</c:v>
                </c:pt>
                <c:pt idx="94">
                  <c:v>3.2138533112610368</c:v>
                </c:pt>
                <c:pt idx="95">
                  <c:v>3.2349799193868627</c:v>
                </c:pt>
                <c:pt idx="96">
                  <c:v>3.2554927580285233</c:v>
                </c:pt>
                <c:pt idx="97">
                  <c:v>3.2754013258985055</c:v>
                </c:pt>
                <c:pt idx="98">
                  <c:v>3.2947155177962824</c:v>
                </c:pt>
                <c:pt idx="99">
                  <c:v>3.3134455835993095</c:v>
                </c:pt>
                <c:pt idx="100">
                  <c:v>3.3316020885484368</c:v>
                </c:pt>
                <c:pt idx="101">
                  <c:v>3.349195874897247</c:v>
                </c:pt>
                <c:pt idx="102">
                  <c:v>3.3662380249836232</c:v>
                </c:pt>
                <c:pt idx="103">
                  <c:v>3.382739825771274</c:v>
                </c:pt>
                <c:pt idx="104">
                  <c:v>3.3987127348987345</c:v>
                </c:pt>
                <c:pt idx="105">
                  <c:v>3.4141683482638245</c:v>
                </c:pt>
                <c:pt idx="106">
                  <c:v>3.4291183691624569</c:v>
                </c:pt>
                <c:pt idx="107">
                  <c:v>3.4435745789922905</c:v>
                </c:pt>
                <c:pt idx="108">
                  <c:v>3.4575488095237912</c:v>
                </c:pt>
                <c:pt idx="109">
                  <c:v>3.471052916734052</c:v>
                </c:pt>
                <c:pt idx="110">
                  <c:v>3.4840987561919694</c:v>
                </c:pt>
                <c:pt idx="111">
                  <c:v>3.4966981599773082</c:v>
                </c:pt>
                <c:pt idx="112">
                  <c:v>3.5088629151106394</c:v>
                </c:pt>
                <c:pt idx="113">
                  <c:v>3.5206047434661989</c:v>
                </c:pt>
                <c:pt idx="114">
                  <c:v>3.531935283135212</c:v>
                </c:pt>
                <c:pt idx="115">
                  <c:v>3.5428660712034272</c:v>
                </c:pt>
                <c:pt idx="116">
                  <c:v>3.5534085279031666</c:v>
                </c:pt>
                <c:pt idx="117">
                  <c:v>3.5635739420972858</c:v>
                </c:pt>
                <c:pt idx="118">
                  <c:v>3.5733734580500092</c:v>
                </c:pt>
                <c:pt idx="119">
                  <c:v>3.5828180634375948</c:v>
                </c:pt>
                <c:pt idx="120">
                  <c:v>3.5919185785501977</c:v>
                </c:pt>
                <c:pt idx="121">
                  <c:v>3.6006856466350348</c:v>
                </c:pt>
                <c:pt idx="122">
                  <c:v>3.6091297253301331</c:v>
                </c:pt>
                <c:pt idx="123">
                  <c:v>3.6172610791374269</c:v>
                </c:pt>
                <c:pt idx="124">
                  <c:v>3.6250897728836651</c:v>
                </c:pt>
                <c:pt idx="125">
                  <c:v>3.6326256661177254</c:v>
                </c:pt>
                <c:pt idx="126">
                  <c:v>3.6398784083931632</c:v>
                </c:pt>
                <c:pt idx="127">
                  <c:v>3.6468574353854026</c:v>
                </c:pt>
                <c:pt idx="128">
                  <c:v>3.653571965793629</c:v>
                </c:pt>
                <c:pt idx="129">
                  <c:v>3.6600309989784612</c:v>
                </c:pt>
                <c:pt idx="130">
                  <c:v>3.6662433132874188</c:v>
                </c:pt>
                <c:pt idx="131">
                  <c:v>3.6722174650215322</c:v>
                </c:pt>
                <c:pt idx="132">
                  <c:v>3.6779617879976336</c:v>
                </c:pt>
                <c:pt idx="133">
                  <c:v>3.6834843936624102</c:v>
                </c:pt>
              </c:numCache>
            </c:numRef>
          </c:yVal>
          <c:smooth val="1"/>
          <c:extLst>
            <c:ext xmlns:c16="http://schemas.microsoft.com/office/drawing/2014/chart" uri="{C3380CC4-5D6E-409C-BE32-E72D297353CC}">
              <c16:uniqueId val="{00000000-EE68-4A32-A012-88D366B2ABD4}"/>
            </c:ext>
          </c:extLst>
        </c:ser>
        <c:ser>
          <c:idx val="2"/>
          <c:order val="1"/>
          <c:tx>
            <c:strRef>
              <c:f>'E-Mixed'!$I$1</c:f>
              <c:strCache>
                <c:ptCount val="1"/>
                <c:pt idx="0">
                  <c:v>Mixed Gender</c:v>
                </c:pt>
              </c:strCache>
            </c:strRef>
          </c:tx>
          <c:spPr>
            <a:ln w="28575" cap="rnd">
              <a:solidFill>
                <a:schemeClr val="accent3"/>
              </a:solidFill>
              <a:round/>
            </a:ln>
            <a:effectLst/>
          </c:spPr>
          <c:marker>
            <c:symbol val="none"/>
          </c:marker>
          <c:xVal>
            <c:numRef>
              <c:f>[0]!MixedBW2</c:f>
              <c:numCache>
                <c:formatCode>0.00</c:formatCode>
                <c:ptCount val="135"/>
                <c:pt idx="0">
                  <c:v>6</c:v>
                </c:pt>
                <c:pt idx="1">
                  <c:v>6.0890879786902508</c:v>
                </c:pt>
                <c:pt idx="2">
                  <c:v>6.2042353545133473</c:v>
                </c:pt>
                <c:pt idx="3">
                  <c:v>6.3448216656327858</c:v>
                </c:pt>
                <c:pt idx="4">
                  <c:v>6.5102264502120768</c:v>
                </c:pt>
                <c:pt idx="5">
                  <c:v>6.69982924641472</c:v>
                </c:pt>
                <c:pt idx="6">
                  <c:v>6.9130095924042214</c:v>
                </c:pt>
                <c:pt idx="7">
                  <c:v>7.1491470263440835</c:v>
                </c:pt>
                <c:pt idx="8">
                  <c:v>7.4076210863978105</c:v>
                </c:pt>
                <c:pt idx="9">
                  <c:v>7.6878113107289057</c:v>
                </c:pt>
                <c:pt idx="10">
                  <c:v>7.9890972375008733</c:v>
                </c:pt>
                <c:pt idx="11">
                  <c:v>8.3108584048772194</c:v>
                </c:pt>
                <c:pt idx="12">
                  <c:v>8.6524743510214428</c:v>
                </c:pt>
                <c:pt idx="13">
                  <c:v>9.0133246140970478</c:v>
                </c:pt>
                <c:pt idx="14">
                  <c:v>9.3927887322675438</c:v>
                </c:pt>
                <c:pt idx="15">
                  <c:v>9.7902462436964282</c:v>
                </c:pt>
                <c:pt idx="16">
                  <c:v>10.205076686547208</c:v>
                </c:pt>
                <c:pt idx="17">
                  <c:v>10.636659598983389</c:v>
                </c:pt>
                <c:pt idx="18">
                  <c:v>11.08437451916847</c:v>
                </c:pt>
                <c:pt idx="19">
                  <c:v>11.547600985265957</c:v>
                </c:pt>
                <c:pt idx="20">
                  <c:v>12.025718535439355</c:v>
                </c:pt>
                <c:pt idx="21">
                  <c:v>12.518106707852166</c:v>
                </c:pt>
                <c:pt idx="22">
                  <c:v>13.021520277357745</c:v>
                </c:pt>
                <c:pt idx="23">
                  <c:v>13.536206121090565</c:v>
                </c:pt>
                <c:pt idx="24">
                  <c:v>14.062416644178242</c:v>
                </c:pt>
                <c:pt idx="25">
                  <c:v>14.600409903522564</c:v>
                </c:pt>
                <c:pt idx="26">
                  <c:v>15.150449734352225</c:v>
                </c:pt>
                <c:pt idx="27">
                  <c:v>15.71280587960922</c:v>
                </c:pt>
                <c:pt idx="28">
                  <c:v>16.287754122232471</c:v>
                </c:pt>
                <c:pt idx="29">
                  <c:v>16.875576420403497</c:v>
                </c:pt>
                <c:pt idx="30">
                  <c:v>17.476561045820446</c:v>
                </c:pt>
                <c:pt idx="31">
                  <c:v>18.091002725068329</c:v>
                </c:pt>
                <c:pt idx="32">
                  <c:v>18.719202784154728</c:v>
                </c:pt>
                <c:pt idx="33">
                  <c:v>19.36146929628201</c:v>
                </c:pt>
                <c:pt idx="34">
                  <c:v>20.018117232928262</c:v>
                </c:pt>
                <c:pt idx="35">
                  <c:v>20.689468618311306</c:v>
                </c:pt>
                <c:pt idx="36">
                  <c:v>21.375852687311333</c:v>
                </c:pt>
                <c:pt idx="37">
                  <c:v>22.077606046929766</c:v>
                </c:pt>
                <c:pt idx="38">
                  <c:v>22.795072841363378</c:v>
                </c:pt>
                <c:pt idx="39">
                  <c:v>23.528194024845337</c:v>
                </c:pt>
                <c:pt idx="40">
                  <c:v>24.279978571820696</c:v>
                </c:pt>
                <c:pt idx="41">
                  <c:v>25.042361886562691</c:v>
                </c:pt>
                <c:pt idx="42">
                  <c:v>25.815196947691</c:v>
                </c:pt>
                <c:pt idx="43">
                  <c:v>26.598334463526566</c:v>
                </c:pt>
                <c:pt idx="44">
                  <c:v>27.391622975758104</c:v>
                </c:pt>
                <c:pt idx="45">
                  <c:v>28.194908962891979</c:v>
                </c:pt>
                <c:pt idx="46">
                  <c:v>29.008036943424592</c:v>
                </c:pt>
                <c:pt idx="47">
                  <c:v>29.830849578675302</c:v>
                </c:pt>
                <c:pt idx="48">
                  <c:v>30.663187775215619</c:v>
                </c:pt>
                <c:pt idx="49">
                  <c:v>31.504890786830554</c:v>
                </c:pt>
                <c:pt idx="50">
                  <c:v>32.355796315946755</c:v>
                </c:pt>
                <c:pt idx="51">
                  <c:v>33.215740614461993</c:v>
                </c:pt>
                <c:pt idx="52">
                  <c:v>34.084558583910592</c:v>
                </c:pt>
                <c:pt idx="53">
                  <c:v>34.96208387489947</c:v>
                </c:pt>
                <c:pt idx="54">
                  <c:v>35.848148985750264</c:v>
                </c:pt>
                <c:pt idx="55">
                  <c:v>36.742585360283307</c:v>
                </c:pt>
                <c:pt idx="56">
                  <c:v>37.645223484680592</c:v>
                </c:pt>
                <c:pt idx="57">
                  <c:v>38.555892983365545</c:v>
                </c:pt>
                <c:pt idx="58">
                  <c:v>39.474422713839076</c:v>
                </c:pt>
                <c:pt idx="59">
                  <c:v>40.400640860412537</c:v>
                </c:pt>
                <c:pt idx="60">
                  <c:v>41.334375026779924</c:v>
                </c:pt>
                <c:pt idx="61">
                  <c:v>42.27545232737338</c:v>
                </c:pt>
                <c:pt idx="62">
                  <c:v>43.223699477447909</c:v>
                </c:pt>
                <c:pt idx="63">
                  <c:v>44.178942881842943</c:v>
                </c:pt>
                <c:pt idx="64">
                  <c:v>45.141008722370863</c:v>
                </c:pt>
                <c:pt idx="65">
                  <c:v>46.109723043784157</c:v>
                </c:pt>
                <c:pt idx="66">
                  <c:v>47.084911838275637</c:v>
                </c:pt>
                <c:pt idx="67">
                  <c:v>48.066401128467909</c:v>
                </c:pt>
                <c:pt idx="68">
                  <c:v>49.054017048851073</c:v>
                </c:pt>
                <c:pt idx="69">
                  <c:v>50.047585925629484</c:v>
                </c:pt>
                <c:pt idx="70">
                  <c:v>51.046934354941378</c:v>
                </c:pt>
                <c:pt idx="71">
                  <c:v>52.051889279416983</c:v>
                </c:pt>
                <c:pt idx="72">
                  <c:v>53.062278063043777</c:v>
                </c:pt>
                <c:pt idx="73">
                  <c:v>54.077928564309673</c:v>
                </c:pt>
                <c:pt idx="74">
                  <c:v>55.09866920759714</c:v>
                </c:pt>
                <c:pt idx="75">
                  <c:v>56.124329052804697</c:v>
                </c:pt>
                <c:pt idx="76">
                  <c:v>57.154737863173288</c:v>
                </c:pt>
                <c:pt idx="77">
                  <c:v>58.18972617129895</c:v>
                </c:pt>
                <c:pt idx="78">
                  <c:v>59.229125343314294</c:v>
                </c:pt>
                <c:pt idx="79">
                  <c:v>60.272767641224874</c:v>
                </c:pt>
                <c:pt idx="80">
                  <c:v>61.320486283387936</c:v>
                </c:pt>
                <c:pt idx="81">
                  <c:v>62.372115503124206</c:v>
                </c:pt>
                <c:pt idx="82">
                  <c:v>63.427490605455077</c:v>
                </c:pt>
                <c:pt idx="83">
                  <c:v>64.48644802195993</c:v>
                </c:pt>
                <c:pt idx="84">
                  <c:v>65.548825363751163</c:v>
                </c:pt>
                <c:pt idx="85">
                  <c:v>66.614461472565523</c:v>
                </c:pt>
                <c:pt idx="86">
                  <c:v>67.683196469973424</c:v>
                </c:pt>
                <c:pt idx="87">
                  <c:v>68.75487180470995</c:v>
                </c:pt>
                <c:pt idx="88">
                  <c:v>69.82933029813212</c:v>
                </c:pt>
                <c:pt idx="89">
                  <c:v>70.906416187810777</c:v>
                </c:pt>
                <c:pt idx="90">
                  <c:v>71.9859751692656</c:v>
                </c:pt>
                <c:pt idx="91">
                  <c:v>73.067854435854514</c:v>
                </c:pt>
                <c:pt idx="92">
                  <c:v>74.151902716830364</c:v>
                </c:pt>
                <c:pt idx="93">
                  <c:v>75.237970313579126</c:v>
                </c:pt>
                <c:pt idx="94">
                  <c:v>76.325909134055976</c:v>
                </c:pt>
                <c:pt idx="95">
                  <c:v>77.415572725436576</c:v>
                </c:pt>
                <c:pt idx="96">
                  <c:v>78.506816305002587</c:v>
                </c:pt>
                <c:pt idx="97">
                  <c:v>79.599496789282341</c:v>
                </c:pt>
                <c:pt idx="98">
                  <c:v>80.693472821467722</c:v>
                </c:pt>
                <c:pt idx="99">
                  <c:v>81.788604797131015</c:v>
                </c:pt>
                <c:pt idx="100">
                  <c:v>82.884754888265434</c:v>
                </c:pt>
                <c:pt idx="101">
                  <c:v>83.981787065674723</c:v>
                </c:pt>
                <c:pt idx="102">
                  <c:v>85.079567119738485</c:v>
                </c:pt>
                <c:pt idx="103">
                  <c:v>86.17796267958019</c:v>
                </c:pt>
                <c:pt idx="104">
                  <c:v>87.276843230666159</c:v>
                </c:pt>
                <c:pt idx="105">
                  <c:v>88.376080130864835</c:v>
                </c:pt>
                <c:pt idx="106">
                  <c:v>89.475546624995644</c:v>
                </c:pt>
                <c:pt idx="107">
                  <c:v>90.575117857898576</c:v>
                </c:pt>
                <c:pt idx="108">
                  <c:v>91.674670886054855</c:v>
                </c:pt>
                <c:pt idx="109">
                  <c:v>92.774084687791046</c:v>
                </c:pt>
                <c:pt idx="110">
                  <c:v>93.873240172098434</c:v>
                </c:pt>
                <c:pt idx="111">
                  <c:v>94.97202018610038</c:v>
                </c:pt>
                <c:pt idx="112">
                  <c:v>96.07030952120067</c:v>
                </c:pt>
                <c:pt idx="113">
                  <c:v>97.167994917946046</c:v>
                </c:pt>
                <c:pt idx="114">
                  <c:v>98.264965069636901</c:v>
                </c:pt>
                <c:pt idx="115">
                  <c:v>99.361110624719302</c:v>
                </c:pt>
                <c:pt idx="116">
                  <c:v>100.45632418799291</c:v>
                </c:pt>
                <c:pt idx="117">
                  <c:v>101.55050032066856</c:v>
                </c:pt>
                <c:pt idx="118">
                  <c:v>102.64353553930961</c:v>
                </c:pt>
                <c:pt idx="119">
                  <c:v>103.73532831369133</c:v>
                </c:pt>
                <c:pt idx="120">
                  <c:v>104.82577906361227</c:v>
                </c:pt>
                <c:pt idx="121">
                  <c:v>105.91479015469183</c:v>
                </c:pt>
                <c:pt idx="122">
                  <c:v>107.0022658931876</c:v>
                </c:pt>
                <c:pt idx="123">
                  <c:v>108.0881125198667</c:v>
                </c:pt>
                <c:pt idx="124">
                  <c:v>109.17223820296418</c:v>
                </c:pt>
                <c:pt idx="125">
                  <c:v>110.25455303026199</c:v>
                </c:pt>
                <c:pt idx="126">
                  <c:v>111.33496900032156</c:v>
                </c:pt>
                <c:pt idx="127">
                  <c:v>112.41340001290301</c:v>
                </c:pt>
                <c:pt idx="128">
                  <c:v>113.48976185860258</c:v>
                </c:pt>
                <c:pt idx="129">
                  <c:v>114.56397220774132</c:v>
                </c:pt>
                <c:pt idx="130">
                  <c:v>115.63595059853606</c:v>
                </c:pt>
                <c:pt idx="131">
                  <c:v>116.70561842458424</c:v>
                </c:pt>
                <c:pt idx="132">
                  <c:v>117.77289892169298</c:v>
                </c:pt>
                <c:pt idx="133">
                  <c:v>118.83771715408352</c:v>
                </c:pt>
                <c:pt idx="134">
                  <c:v>119.90000000000005</c:v>
                </c:pt>
              </c:numCache>
            </c:numRef>
          </c:xVal>
          <c:yVal>
            <c:numRef>
              <c:f>[0]!MixedADFI2</c:f>
              <c:numCache>
                <c:formatCode>0.00</c:formatCode>
                <c:ptCount val="134"/>
                <c:pt idx="0">
                  <c:v>0.10001168226672545</c:v>
                </c:pt>
                <c:pt idx="1">
                  <c:v>0.13052141898828648</c:v>
                </c:pt>
                <c:pt idx="2">
                  <c:v>0.1608891424910196</c:v>
                </c:pt>
                <c:pt idx="3">
                  <c:v>0.19109456517224596</c:v>
                </c:pt>
                <c:pt idx="4">
                  <c:v>0.22318391718094535</c:v>
                </c:pt>
                <c:pt idx="5">
                  <c:v>0.25424398330266723</c:v>
                </c:pt>
                <c:pt idx="6">
                  <c:v>0.28530404942438914</c:v>
                </c:pt>
                <c:pt idx="7">
                  <c:v>0.3163641155461111</c:v>
                </c:pt>
                <c:pt idx="8">
                  <c:v>0.34742418166783307</c:v>
                </c:pt>
                <c:pt idx="9">
                  <c:v>0.37848424778955508</c:v>
                </c:pt>
                <c:pt idx="10">
                  <c:v>0.4095443139112781</c:v>
                </c:pt>
                <c:pt idx="11">
                  <c:v>0.44060438003299879</c:v>
                </c:pt>
                <c:pt idx="12">
                  <c:v>0.47166444615471825</c:v>
                </c:pt>
                <c:pt idx="13">
                  <c:v>0.50272451227644277</c:v>
                </c:pt>
                <c:pt idx="14">
                  <c:v>0.53378457839816473</c:v>
                </c:pt>
                <c:pt idx="15">
                  <c:v>0.56484464451988659</c:v>
                </c:pt>
                <c:pt idx="16">
                  <c:v>0.59590471064160844</c:v>
                </c:pt>
                <c:pt idx="17">
                  <c:v>0.6269647767633304</c:v>
                </c:pt>
                <c:pt idx="18">
                  <c:v>0.65802484288505514</c:v>
                </c:pt>
                <c:pt idx="19">
                  <c:v>0.68287289578242705</c:v>
                </c:pt>
                <c:pt idx="20">
                  <c:v>0.7077209486798075</c:v>
                </c:pt>
                <c:pt idx="21">
                  <c:v>0.73256900157718485</c:v>
                </c:pt>
                <c:pt idx="22">
                  <c:v>0.75741705447456253</c:v>
                </c:pt>
                <c:pt idx="23">
                  <c:v>0.78226510737194288</c:v>
                </c:pt>
                <c:pt idx="24">
                  <c:v>0.80711316026931201</c:v>
                </c:pt>
                <c:pt idx="25">
                  <c:v>0.83568842110130181</c:v>
                </c:pt>
                <c:pt idx="26">
                  <c:v>0.86426368193329217</c:v>
                </c:pt>
                <c:pt idx="27">
                  <c:v>0.89283894276527009</c:v>
                </c:pt>
                <c:pt idx="28">
                  <c:v>0.92141420359725146</c:v>
                </c:pt>
                <c:pt idx="29">
                  <c:v>0.94998946442923538</c:v>
                </c:pt>
                <c:pt idx="30">
                  <c:v>0.97856472526122917</c:v>
                </c:pt>
                <c:pt idx="31">
                  <c:v>1.0071399860932071</c:v>
                </c:pt>
                <c:pt idx="32">
                  <c:v>1.0357152469251911</c:v>
                </c:pt>
                <c:pt idx="33">
                  <c:v>1.0667753130469064</c:v>
                </c:pt>
                <c:pt idx="34">
                  <c:v>1.0978353791686417</c:v>
                </c:pt>
                <c:pt idx="35">
                  <c:v>1.135107458514695</c:v>
                </c:pt>
                <c:pt idx="36">
                  <c:v>1.1723795378607675</c:v>
                </c:pt>
                <c:pt idx="37">
                  <c:v>1.2096516172068337</c:v>
                </c:pt>
                <c:pt idx="38">
                  <c:v>1.2383464288327228</c:v>
                </c:pt>
                <c:pt idx="39">
                  <c:v>1.2980121696109284</c:v>
                </c:pt>
                <c:pt idx="40">
                  <c:v>1.3337183148072409</c:v>
                </c:pt>
                <c:pt idx="41">
                  <c:v>1.3695622998646131</c:v>
                </c:pt>
                <c:pt idx="42">
                  <c:v>1.4055187987408371</c:v>
                </c:pt>
                <c:pt idx="43">
                  <c:v>1.4415625575382092</c:v>
                </c:pt>
                <c:pt idx="44">
                  <c:v>1.4776684468560932</c:v>
                </c:pt>
                <c:pt idx="45">
                  <c:v>1.5138115134138284</c:v>
                </c:pt>
                <c:pt idx="46">
                  <c:v>1.5499670307300681</c:v>
                </c:pt>
                <c:pt idx="47">
                  <c:v>1.5861105486519251</c:v>
                </c:pt>
                <c:pt idx="48">
                  <c:v>1.6222179415357432</c:v>
                </c:pt>
                <c:pt idx="49">
                  <c:v>1.6582654548914995</c:v>
                </c:pt>
                <c:pt idx="50">
                  <c:v>1.6942297503130652</c:v>
                </c:pt>
                <c:pt idx="51">
                  <c:v>1.7300879485292882</c:v>
                </c:pt>
                <c:pt idx="52">
                  <c:v>1.7658176704229078</c:v>
                </c:pt>
                <c:pt idx="53">
                  <c:v>1.8013970758787243</c:v>
                </c:pt>
                <c:pt idx="54">
                  <c:v>1.8368049003361258</c:v>
                </c:pt>
                <c:pt idx="55">
                  <c:v>1.8720204889363217</c:v>
                </c:pt>
                <c:pt idx="56">
                  <c:v>1.9070238281696035</c:v>
                </c:pt>
                <c:pt idx="57">
                  <c:v>1.9417955749437343</c:v>
                </c:pt>
                <c:pt idx="58">
                  <c:v>1.9763170830098238</c:v>
                </c:pt>
                <c:pt idx="59">
                  <c:v>2.0105704266981492</c:v>
                </c:pt>
                <c:pt idx="60">
                  <c:v>2.0445384219313576</c:v>
                </c:pt>
                <c:pt idx="61">
                  <c:v>2.0782046444986535</c:v>
                </c:pt>
                <c:pt idx="62">
                  <c:v>2.1115534455879694</c:v>
                </c:pt>
                <c:pt idx="63">
                  <c:v>2.1445699645897909</c:v>
                </c:pt>
                <c:pt idx="64">
                  <c:v>2.1772401391978846</c:v>
                </c:pt>
                <c:pt idx="65">
                  <c:v>2.2095507128472653</c:v>
                </c:pt>
                <c:pt idx="66">
                  <c:v>2.2414892395413633</c:v>
                </c:pt>
                <c:pt idx="67">
                  <c:v>2.2730440861321517</c:v>
                </c:pt>
                <c:pt idx="68">
                  <c:v>2.3042044321286781</c:v>
                </c:pt>
                <c:pt idx="69">
                  <c:v>2.3349602671179643</c:v>
                </c:pt>
                <c:pt idx="70">
                  <c:v>2.3653023858929783</c:v>
                </c:pt>
                <c:pt idx="71">
                  <c:v>2.39522238138944</c:v>
                </c:pt>
                <c:pt idx="72">
                  <c:v>2.424712635540184</c:v>
                </c:pt>
                <c:pt idx="73">
                  <c:v>2.45376630816292</c:v>
                </c:pt>
                <c:pt idx="74">
                  <c:v>2.4823773240013081</c:v>
                </c:pt>
                <c:pt idx="75">
                  <c:v>2.5105403580438646</c:v>
                </c:pt>
                <c:pt idx="76">
                  <c:v>2.538250819248526</c:v>
                </c:pt>
                <c:pt idx="77">
                  <c:v>2.5655048328024748</c:v>
                </c:pt>
                <c:pt idx="78">
                  <c:v>2.5922992210485245</c:v>
                </c:pt>
                <c:pt idx="79">
                  <c:v>2.6186314832096484</c:v>
                </c:pt>
                <c:pt idx="80">
                  <c:v>2.6444997740428819</c:v>
                </c:pt>
                <c:pt idx="81">
                  <c:v>2.6699028815525656</c:v>
                </c:pt>
                <c:pt idx="82">
                  <c:v>2.6948402038913675</c:v>
                </c:pt>
                <c:pt idx="83">
                  <c:v>2.7193117255743533</c:v>
                </c:pt>
                <c:pt idx="84">
                  <c:v>2.743317993128791</c:v>
                </c:pt>
                <c:pt idx="85">
                  <c:v>2.7668600902984122</c:v>
                </c:pt>
                <c:pt idx="86">
                  <c:v>2.7899396129167022</c:v>
                </c:pt>
                <c:pt idx="87">
                  <c:v>2.8125586435586647</c:v>
                </c:pt>
                <c:pt idx="88">
                  <c:v>2.834719726076782</c:v>
                </c:pt>
                <c:pt idx="89">
                  <c:v>2.8564258401196829</c:v>
                </c:pt>
                <c:pt idx="90">
                  <c:v>2.8776803757282896</c:v>
                </c:pt>
                <c:pt idx="91">
                  <c:v>2.8984871080970964</c:v>
                </c:pt>
                <c:pt idx="92">
                  <c:v>2.9188501725829825</c:v>
                </c:pt>
                <c:pt idx="93">
                  <c:v>2.9387740400379623</c:v>
                </c:pt>
                <c:pt idx="94">
                  <c:v>2.9582634925353788</c:v>
                </c:pt>
                <c:pt idx="95">
                  <c:v>2.9773235995541749</c:v>
                </c:pt>
                <c:pt idx="96">
                  <c:v>2.9959596946793314</c:v>
                </c:pt>
                <c:pt idx="97">
                  <c:v>3.0141773528693765</c:v>
                </c:pt>
                <c:pt idx="98">
                  <c:v>3.0319823683391633</c:v>
                </c:pt>
                <c:pt idx="99">
                  <c:v>3.0493807330960334</c:v>
                </c:pt>
                <c:pt idx="100">
                  <c:v>3.0663786161664102</c:v>
                </c:pt>
                <c:pt idx="101">
                  <c:v>3.0829823435410337</c:v>
                </c:pt>
                <c:pt idx="102">
                  <c:v>3.0991983788639788</c:v>
                </c:pt>
                <c:pt idx="103">
                  <c:v>3.1150333048847005</c:v>
                </c:pt>
                <c:pt idx="104">
                  <c:v>3.1304938056885256</c:v>
                </c:pt>
                <c:pt idx="105">
                  <c:v>3.1455866497153533</c:v>
                </c:pt>
                <c:pt idx="106">
                  <c:v>3.1603186735738742</c:v>
                </c:pt>
                <c:pt idx="107">
                  <c:v>3.1746967666531298</c:v>
                </c:pt>
                <c:pt idx="108">
                  <c:v>3.1887278565308588</c:v>
                </c:pt>
                <c:pt idx="109">
                  <c:v>3.2024188951741741</c:v>
                </c:pt>
                <c:pt idx="110">
                  <c:v>3.2157768459253577</c:v>
                </c:pt>
                <c:pt idx="111">
                  <c:v>3.2288086712623461</c:v>
                </c:pt>
                <c:pt idx="112">
                  <c:v>3.2415213213215393</c:v>
                </c:pt>
                <c:pt idx="113">
                  <c:v>3.2539217231682915</c:v>
                </c:pt>
                <c:pt idx="114">
                  <c:v>3.2660167707981023</c:v>
                </c:pt>
                <c:pt idx="115">
                  <c:v>3.2778133158496314</c:v>
                </c:pt>
                <c:pt idx="116">
                  <c:v>3.2893181590101399</c:v>
                </c:pt>
                <c:pt idx="117">
                  <c:v>3.3005380420913752</c:v>
                </c:pt>
                <c:pt idx="118">
                  <c:v>3.3114796407542775</c:v>
                </c:pt>
                <c:pt idx="119">
                  <c:v>3.3221495578580207</c:v>
                </c:pt>
                <c:pt idx="120">
                  <c:v>3.3325543174104411</c:v>
                </c:pt>
                <c:pt idx="121">
                  <c:v>3.3427003590952848</c:v>
                </c:pt>
                <c:pt idx="122">
                  <c:v>3.3525940333506044</c:v>
                </c:pt>
                <c:pt idx="123">
                  <c:v>3.3622415969737229</c:v>
                </c:pt>
                <c:pt idx="124">
                  <c:v>3.3716492092283055</c:v>
                </c:pt>
                <c:pt idx="125">
                  <c:v>3.3808229284269582</c:v>
                </c:pt>
                <c:pt idx="126">
                  <c:v>3.3897687089658226</c:v>
                </c:pt>
                <c:pt idx="127">
                  <c:v>3.3984923987856086</c:v>
                </c:pt>
                <c:pt idx="128">
                  <c:v>3.4069997372356986</c:v>
                </c:pt>
                <c:pt idx="129">
                  <c:v>3.4152963533160583</c:v>
                </c:pt>
                <c:pt idx="130">
                  <c:v>3.4233877642755743</c:v>
                </c:pt>
                <c:pt idx="131">
                  <c:v>3.4312793745419801</c:v>
                </c:pt>
                <c:pt idx="132">
                  <c:v>3.43897647496338</c:v>
                </c:pt>
                <c:pt idx="133">
                  <c:v>3.4464842423381281</c:v>
                </c:pt>
              </c:numCache>
            </c:numRef>
          </c:yVal>
          <c:smooth val="1"/>
          <c:extLst>
            <c:ext xmlns:c16="http://schemas.microsoft.com/office/drawing/2014/chart" uri="{C3380CC4-5D6E-409C-BE32-E72D297353CC}">
              <c16:uniqueId val="{00000001-EE68-4A32-A012-88D366B2ABD4}"/>
            </c:ext>
          </c:extLst>
        </c:ser>
        <c:ser>
          <c:idx val="3"/>
          <c:order val="2"/>
          <c:tx>
            <c:strRef>
              <c:f>'E-Gilts'!$I$1</c:f>
              <c:strCache>
                <c:ptCount val="1"/>
                <c:pt idx="0">
                  <c:v>Gilts</c:v>
                </c:pt>
              </c:strCache>
            </c:strRef>
          </c:tx>
          <c:spPr>
            <a:ln w="28575" cap="rnd">
              <a:solidFill>
                <a:schemeClr val="accent4"/>
              </a:solidFill>
              <a:round/>
            </a:ln>
            <a:effectLst/>
          </c:spPr>
          <c:marker>
            <c:symbol val="none"/>
          </c:marker>
          <c:xVal>
            <c:numRef>
              <c:f>[0]!GiltsBW2</c:f>
              <c:numCache>
                <c:formatCode>0.00</c:formatCode>
                <c:ptCount val="135"/>
                <c:pt idx="0">
                  <c:v>6.0580105212632942</c:v>
                </c:pt>
                <c:pt idx="1">
                  <c:v>6.1475270980272505</c:v>
                </c:pt>
                <c:pt idx="2">
                  <c:v>6.2632284424575069</c:v>
                </c:pt>
                <c:pt idx="3">
                  <c:v>6.404491107704863</c:v>
                </c:pt>
                <c:pt idx="4">
                  <c:v>6.5706916469201255</c:v>
                </c:pt>
                <c:pt idx="5">
                  <c:v>6.7612066132540933</c:v>
                </c:pt>
                <c:pt idx="6">
                  <c:v>6.9754125598575705</c:v>
                </c:pt>
                <c:pt idx="7">
                  <c:v>7.2126860398813593</c:v>
                </c:pt>
                <c:pt idx="8">
                  <c:v>7.4724036064762611</c:v>
                </c:pt>
                <c:pt idx="9">
                  <c:v>7.7539418127930801</c:v>
                </c:pt>
                <c:pt idx="10">
                  <c:v>8.0566772119826169</c:v>
                </c:pt>
                <c:pt idx="11">
                  <c:v>8.3799863571956763</c:v>
                </c:pt>
                <c:pt idx="12">
                  <c:v>8.7232458015830598</c:v>
                </c:pt>
                <c:pt idx="13">
                  <c:v>9.0858320982955671</c:v>
                </c:pt>
                <c:pt idx="14">
                  <c:v>9.467121800484005</c:v>
                </c:pt>
                <c:pt idx="15">
                  <c:v>9.8664914612991694</c:v>
                </c:pt>
                <c:pt idx="16">
                  <c:v>10.283317633891869</c:v>
                </c:pt>
                <c:pt idx="17">
                  <c:v>10.716976871412903</c:v>
                </c:pt>
                <c:pt idx="18">
                  <c:v>11.166845727013076</c:v>
                </c:pt>
                <c:pt idx="19">
                  <c:v>11.632300753843188</c:v>
                </c:pt>
                <c:pt idx="20">
                  <c:v>12.112718505054042</c:v>
                </c:pt>
                <c:pt idx="21">
                  <c:v>12.607475533796443</c:v>
                </c:pt>
                <c:pt idx="22">
                  <c:v>13.113311002298257</c:v>
                </c:pt>
                <c:pt idx="23">
                  <c:v>13.630472975408233</c:v>
                </c:pt>
                <c:pt idx="24">
                  <c:v>14.159215072563184</c:v>
                </c:pt>
                <c:pt idx="25">
                  <c:v>14.69979659216451</c:v>
                </c:pt>
                <c:pt idx="26">
                  <c:v>15.252482638739773</c:v>
                </c:pt>
                <c:pt idx="27">
                  <c:v>15.817544252951569</c:v>
                </c:pt>
                <c:pt idx="28">
                  <c:v>16.395258544517571</c:v>
                </c:pt>
                <c:pt idx="29">
                  <c:v>16.985908828106837</c:v>
                </c:pt>
                <c:pt idx="30">
                  <c:v>17.589784762279088</c:v>
                </c:pt>
                <c:pt idx="31">
                  <c:v>18.207182491535068</c:v>
                </c:pt>
                <c:pt idx="32">
                  <c:v>18.838404791547614</c:v>
                </c:pt>
                <c:pt idx="33">
                  <c:v>19.483761217644759</c:v>
                </c:pt>
                <c:pt idx="34">
                  <c:v>20.14356825661757</c:v>
                </c:pt>
                <c:pt idx="35">
                  <c:v>20.818149481927207</c:v>
                </c:pt>
                <c:pt idx="36">
                  <c:v>21.507835712387397</c:v>
                </c:pt>
                <c:pt idx="37">
                  <c:v>22.212965174399994</c:v>
                </c:pt>
                <c:pt idx="38">
                  <c:v>22.93388366782332</c:v>
                </c:pt>
                <c:pt idx="39">
                  <c:v>23.670531862824131</c:v>
                </c:pt>
                <c:pt idx="40">
                  <c:v>24.402792160777569</c:v>
                </c:pt>
                <c:pt idx="41">
                  <c:v>25.14466831357106</c:v>
                </c:pt>
                <c:pt idx="42">
                  <c:v>25.896018768467133</c:v>
                </c:pt>
                <c:pt idx="43">
                  <c:v>26.656700581284369</c:v>
                </c:pt>
                <c:pt idx="44">
                  <c:v>27.426569496423074</c:v>
                </c:pt>
                <c:pt idx="45">
                  <c:v>28.205480026365038</c:v>
                </c:pt>
                <c:pt idx="46">
                  <c:v>28.993285530607938</c:v>
                </c:pt>
                <c:pt idx="47">
                  <c:v>29.789838293995057</c:v>
                </c:pt>
                <c:pt idx="48">
                  <c:v>30.594989604399938</c:v>
                </c:pt>
                <c:pt idx="49">
                  <c:v>31.40858982972696</c:v>
                </c:pt>
                <c:pt idx="50">
                  <c:v>32.230488494187775</c:v>
                </c:pt>
                <c:pt idx="51">
                  <c:v>33.06053435381525</c:v>
                </c:pt>
                <c:pt idx="52">
                  <c:v>33.898575471175953</c:v>
                </c:pt>
                <c:pt idx="53">
                  <c:v>34.744459289243714</c:v>
                </c:pt>
                <c:pt idx="54">
                  <c:v>35.598032704397355</c:v>
                </c:pt>
                <c:pt idx="55">
                  <c:v>36.459142138506365</c:v>
                </c:pt>
                <c:pt idx="56">
                  <c:v>37.327633610069732</c:v>
                </c:pt>
                <c:pt idx="57">
                  <c:v>38.203352804373694</c:v>
                </c:pt>
                <c:pt idx="58">
                  <c:v>39.086145142636056</c:v>
                </c:pt>
                <c:pt idx="59">
                  <c:v>39.975855850105006</c:v>
                </c:pt>
                <c:pt idx="60">
                  <c:v>40.872330023082661</c:v>
                </c:pt>
                <c:pt idx="61">
                  <c:v>41.775412694843993</c:v>
                </c:pt>
                <c:pt idx="62">
                  <c:v>42.684948900423898</c:v>
                </c:pt>
                <c:pt idx="63">
                  <c:v>43.600783740246122</c:v>
                </c:pt>
                <c:pt idx="64">
                  <c:v>44.522762442569473</c:v>
                </c:pt>
                <c:pt idx="65">
                  <c:v>45.450730424727986</c:v>
                </c:pt>
                <c:pt idx="66">
                  <c:v>46.38453335314346</c:v>
                </c:pt>
                <c:pt idx="67">
                  <c:v>47.32401720209009</c:v>
                </c:pt>
                <c:pt idx="68">
                  <c:v>48.269028311192855</c:v>
                </c:pt>
                <c:pt idx="69">
                  <c:v>49.219413441641819</c:v>
                </c:pt>
                <c:pt idx="70">
                  <c:v>50.17501983110769</c:v>
                </c:pt>
                <c:pt idx="71">
                  <c:v>51.135695247343797</c:v>
                </c:pt>
                <c:pt idx="72">
                  <c:v>52.101288040462279</c:v>
                </c:pt>
                <c:pt idx="73">
                  <c:v>53.071647193873702</c:v>
                </c:pt>
                <c:pt idx="74">
                  <c:v>54.046622373879799</c:v>
                </c:pt>
                <c:pt idx="75">
                  <c:v>55.026063977912465</c:v>
                </c:pt>
                <c:pt idx="76">
                  <c:v>56.009823181411136</c:v>
                </c:pt>
                <c:pt idx="77">
                  <c:v>56.997751983334716</c:v>
                </c:pt>
                <c:pt idx="78">
                  <c:v>57.989703250303229</c:v>
                </c:pt>
                <c:pt idx="79">
                  <c:v>58.985530759367705</c:v>
                </c:pt>
                <c:pt idx="80">
                  <c:v>59.985089239407003</c:v>
                </c:pt>
                <c:pt idx="81">
                  <c:v>60.988234411151886</c:v>
                </c:pt>
                <c:pt idx="82">
                  <c:v>61.994823025838571</c:v>
                </c:pt>
                <c:pt idx="83">
                  <c:v>63.00471290249385</c:v>
                </c:pt>
                <c:pt idx="84">
                  <c:v>64.017762963857209</c:v>
                </c:pt>
                <c:pt idx="85">
                  <c:v>65.033833270944115</c:v>
                </c:pt>
                <c:pt idx="86">
                  <c:v>66.052785056257775</c:v>
                </c:pt>
                <c:pt idx="87">
                  <c:v>67.074480755657333</c:v>
                </c:pt>
                <c:pt idx="88">
                  <c:v>68.098784038890287</c:v>
                </c:pt>
                <c:pt idx="89">
                  <c:v>69.125559838800044</c:v>
                </c:pt>
                <c:pt idx="90">
                  <c:v>70.154674379218918</c:v>
                </c:pt>
                <c:pt idx="91">
                  <c:v>71.185995201558171</c:v>
                </c:pt>
                <c:pt idx="92">
                  <c:v>72.219391190108453</c:v>
                </c:pt>
                <c:pt idx="93">
                  <c:v>73.254732596063974</c:v>
                </c:pt>
                <c:pt idx="94">
                  <c:v>74.2918910602842</c:v>
                </c:pt>
                <c:pt idx="95">
                  <c:v>75.330739634809746</c:v>
                </c:pt>
                <c:pt idx="96">
                  <c:v>76.371152803146828</c:v>
                </c:pt>
                <c:pt idx="97">
                  <c:v>77.413006499338422</c:v>
                </c:pt>
                <c:pt idx="98">
                  <c:v>78.45617812583842</c:v>
                </c:pt>
                <c:pt idx="99">
                  <c:v>79.500546570207504</c:v>
                </c:pt>
                <c:pt idx="100">
                  <c:v>80.545992220648898</c:v>
                </c:pt>
                <c:pt idx="101">
                  <c:v>81.592396980403407</c:v>
                </c:pt>
                <c:pt idx="102">
                  <c:v>82.639644281023266</c:v>
                </c:pt>
                <c:pt idx="103">
                  <c:v>83.687619094545013</c:v>
                </c:pt>
                <c:pt idx="104">
                  <c:v>84.736207944581707</c:v>
                </c:pt>
                <c:pt idx="105">
                  <c:v>85.785298916355799</c:v>
                </c:pt>
                <c:pt idx="106">
                  <c:v>86.834781665693612</c:v>
                </c:pt>
                <c:pt idx="107">
                  <c:v>87.884547427003326</c:v>
                </c:pt>
                <c:pt idx="108">
                  <c:v>88.934489020257985</c:v>
                </c:pt>
                <c:pt idx="109">
                  <c:v>89.984500857006054</c:v>
                </c:pt>
                <c:pt idx="110">
                  <c:v>91.0344789454319</c:v>
                </c:pt>
                <c:pt idx="111">
                  <c:v>92.084320894488059</c:v>
                </c:pt>
                <c:pt idx="112">
                  <c:v>93.133925917123079</c:v>
                </c:pt>
                <c:pt idx="113">
                  <c:v>94.183194832626526</c:v>
                </c:pt>
                <c:pt idx="114">
                  <c:v>95.23203006811525</c:v>
                </c:pt>
                <c:pt idx="115">
                  <c:v>96.280335659182683</c:v>
                </c:pt>
                <c:pt idx="116">
                  <c:v>97.32801724973497</c:v>
                </c:pt>
                <c:pt idx="117">
                  <c:v>98.374982091036756</c:v>
                </c:pt>
                <c:pt idx="118">
                  <c:v>99.421139039989129</c:v>
                </c:pt>
                <c:pt idx="119">
                  <c:v>100.46639855666318</c:v>
                </c:pt>
                <c:pt idx="120">
                  <c:v>101.51067270111163</c:v>
                </c:pt>
                <c:pt idx="121">
                  <c:v>102.55387512948163</c:v>
                </c:pt>
                <c:pt idx="122">
                  <c:v>103.59592108945067</c:v>
                </c:pt>
                <c:pt idx="123">
                  <c:v>104.63672741500888</c:v>
                </c:pt>
                <c:pt idx="124">
                  <c:v>105.67621252060964</c:v>
                </c:pt>
                <c:pt idx="125">
                  <c:v>106.71429639471022</c:v>
                </c:pt>
                <c:pt idx="126">
                  <c:v>107.75090059272532</c:v>
                </c:pt>
                <c:pt idx="127">
                  <c:v>108.78594822941444</c:v>
                </c:pt>
                <c:pt idx="128">
                  <c:v>109.81936397072496</c:v>
                </c:pt>
                <c:pt idx="129">
                  <c:v>110.85107402511181</c:v>
                </c:pt>
                <c:pt idx="130">
                  <c:v>111.8810061343554</c:v>
                </c:pt>
                <c:pt idx="131">
                  <c:v>112.90908956389777</c:v>
                </c:pt>
                <c:pt idx="132">
                  <c:v>113.93525509271778</c:v>
                </c:pt>
                <c:pt idx="133">
                  <c:v>114.95943500276545</c:v>
                </c:pt>
                <c:pt idx="134">
                  <c:v>115.9815630679752</c:v>
                </c:pt>
              </c:numCache>
            </c:numRef>
          </c:xVal>
          <c:yVal>
            <c:numRef>
              <c:f>[0]!GiltsADFI2</c:f>
              <c:numCache>
                <c:formatCode>General</c:formatCode>
                <c:ptCount val="134"/>
                <c:pt idx="0">
                  <c:v>0.10049283376435376</c:v>
                </c:pt>
                <c:pt idx="1">
                  <c:v>0.13114935139373368</c:v>
                </c:pt>
                <c:pt idx="2">
                  <c:v>0.16166317258537571</c:v>
                </c:pt>
                <c:pt idx="3">
                  <c:v>0.19201391213389227</c:v>
                </c:pt>
                <c:pt idx="4">
                  <c:v>0.22425764450523511</c:v>
                </c:pt>
                <c:pt idx="5">
                  <c:v>0.25546713914362745</c:v>
                </c:pt>
                <c:pt idx="6">
                  <c:v>0.2866766337820203</c:v>
                </c:pt>
                <c:pt idx="7">
                  <c:v>0.31788612842041225</c:v>
                </c:pt>
                <c:pt idx="8">
                  <c:v>0.34909562305880609</c:v>
                </c:pt>
                <c:pt idx="9">
                  <c:v>0.38030511769719894</c:v>
                </c:pt>
                <c:pt idx="10">
                  <c:v>0.411514612335591</c:v>
                </c:pt>
                <c:pt idx="11">
                  <c:v>0.44272410697398479</c:v>
                </c:pt>
                <c:pt idx="12">
                  <c:v>0.4739336016123753</c:v>
                </c:pt>
                <c:pt idx="13">
                  <c:v>0.50514309625076992</c:v>
                </c:pt>
                <c:pt idx="14">
                  <c:v>0.5363525908891611</c:v>
                </c:pt>
                <c:pt idx="15">
                  <c:v>0.56756208552755671</c:v>
                </c:pt>
                <c:pt idx="16">
                  <c:v>0.59877158016594623</c:v>
                </c:pt>
                <c:pt idx="17">
                  <c:v>0.62998107480434029</c:v>
                </c:pt>
                <c:pt idx="18">
                  <c:v>0.66119056944273613</c:v>
                </c:pt>
                <c:pt idx="19">
                  <c:v>0.6861581651534443</c:v>
                </c:pt>
                <c:pt idx="20">
                  <c:v>0.71112576086416257</c:v>
                </c:pt>
                <c:pt idx="21">
                  <c:v>0.73609335657487707</c:v>
                </c:pt>
                <c:pt idx="22">
                  <c:v>0.76106095228558945</c:v>
                </c:pt>
                <c:pt idx="23">
                  <c:v>0.78602854799630495</c:v>
                </c:pt>
                <c:pt idx="24">
                  <c:v>0.81099614370701578</c:v>
                </c:pt>
                <c:pt idx="25">
                  <c:v>0.83970887877433964</c:v>
                </c:pt>
                <c:pt idx="26">
                  <c:v>0.8684216138416635</c:v>
                </c:pt>
                <c:pt idx="27">
                  <c:v>0.8971343489089828</c:v>
                </c:pt>
                <c:pt idx="28">
                  <c:v>0.92584708397630389</c:v>
                </c:pt>
                <c:pt idx="29">
                  <c:v>0.95455981904362164</c:v>
                </c:pt>
                <c:pt idx="30">
                  <c:v>0.98327255411094894</c:v>
                </c:pt>
                <c:pt idx="31">
                  <c:v>1.011985289178273</c:v>
                </c:pt>
                <c:pt idx="32">
                  <c:v>1.0406980242455812</c:v>
                </c:pt>
                <c:pt idx="33">
                  <c:v>1.0719075188839864</c:v>
                </c:pt>
                <c:pt idx="34">
                  <c:v>1.1031170135223713</c:v>
                </c:pt>
                <c:pt idx="35">
                  <c:v>1.1405684070884494</c:v>
                </c:pt>
                <c:pt idx="36">
                  <c:v>1.178019800654512</c:v>
                </c:pt>
                <c:pt idx="37">
                  <c:v>1.2154711942205929</c:v>
                </c:pt>
                <c:pt idx="38">
                  <c:v>1.2443040552350546</c:v>
                </c:pt>
                <c:pt idx="39">
                  <c:v>1.2643020954481565</c:v>
                </c:pt>
                <c:pt idx="40">
                  <c:v>1.2978429527071502</c:v>
                </c:pt>
                <c:pt idx="41">
                  <c:v>1.331488837358723</c:v>
                </c:pt>
                <c:pt idx="42">
                  <c:v>1.3652169205993887</c:v>
                </c:pt>
                <c:pt idx="43">
                  <c:v>1.3990045048737569</c:v>
                </c:pt>
                <c:pt idx="44">
                  <c:v>1.432829068917117</c:v>
                </c:pt>
                <c:pt idx="45">
                  <c:v>1.4666683120073187</c:v>
                </c:pt>
                <c:pt idx="46">
                  <c:v>1.5005001972420808</c:v>
                </c:pt>
                <c:pt idx="47">
                  <c:v>1.534302993665684</c:v>
                </c:pt>
                <c:pt idx="48">
                  <c:v>1.5680553170775875</c:v>
                </c:pt>
                <c:pt idx="49">
                  <c:v>1.6017361693635239</c:v>
                </c:pt>
                <c:pt idx="50">
                  <c:v>1.6353249762026669</c:v>
                </c:pt>
                <c:pt idx="51">
                  <c:v>1.6688016230119536</c:v>
                </c:pt>
                <c:pt idx="52">
                  <c:v>1.7021464890039117</c:v>
                </c:pt>
                <c:pt idx="53">
                  <c:v>1.7353404792444265</c:v>
                </c:pt>
                <c:pt idx="54">
                  <c:v>1.7683650546109029</c:v>
                </c:pt>
                <c:pt idx="55">
                  <c:v>1.8012022595640877</c:v>
                </c:pt>
                <c:pt idx="56">
                  <c:v>1.8338347476606205</c:v>
                </c:pt>
                <c:pt idx="57">
                  <c:v>1.8662458047475119</c:v>
                </c:pt>
                <c:pt idx="58">
                  <c:v>1.8984193697917211</c:v>
                </c:pt>
                <c:pt idx="59">
                  <c:v>1.930340053314888</c:v>
                </c:pt>
                <c:pt idx="60">
                  <c:v>1.96199315341271</c:v>
                </c:pt>
                <c:pt idx="61">
                  <c:v>1.9933646693557432</c:v>
                </c:pt>
                <c:pt idx="62">
                  <c:v>2.024441312778122</c:v>
                </c:pt>
                <c:pt idx="63">
                  <c:v>2.0537028317556283</c:v>
                </c:pt>
                <c:pt idx="64">
                  <c:v>2.0788671123179974</c:v>
                </c:pt>
                <c:pt idx="65">
                  <c:v>2.1037871047362477</c:v>
                </c:pt>
                <c:pt idx="66">
                  <c:v>2.1284595969953943</c:v>
                </c:pt>
                <c:pt idx="67">
                  <c:v>2.1528816529082553</c:v>
                </c:pt>
                <c:pt idx="68">
                  <c:v>2.177050604504517</c:v>
                </c:pt>
                <c:pt idx="69">
                  <c:v>2.2009640443848326</c:v>
                </c:pt>
                <c:pt idx="70">
                  <c:v>2.2246198180542835</c:v>
                </c:pt>
                <c:pt idx="71">
                  <c:v>2.2480160162489393</c:v>
                </c:pt>
                <c:pt idx="72">
                  <c:v>2.2711509672686052</c:v>
                </c:pt>
                <c:pt idx="73">
                  <c:v>2.294023229328265</c:v>
                </c:pt>
                <c:pt idx="74">
                  <c:v>2.3166315829400497</c:v>
                </c:pt>
                <c:pt idx="75">
                  <c:v>2.3389750233369733</c:v>
                </c:pt>
                <c:pt idx="76">
                  <c:v>2.3610527529490084</c:v>
                </c:pt>
                <c:pt idx="77">
                  <c:v>2.3828641739415128</c:v>
                </c:pt>
                <c:pt idx="78">
                  <c:v>2.4044088808253088</c:v>
                </c:pt>
                <c:pt idx="79">
                  <c:v>2.4256866531471921</c:v>
                </c:pt>
                <c:pt idx="80">
                  <c:v>2.4466974482689938</c:v>
                </c:pt>
                <c:pt idx="81">
                  <c:v>2.4674413942427393</c:v>
                </c:pt>
                <c:pt idx="82">
                  <c:v>2.4879187827888831</c:v>
                </c:pt>
                <c:pt idx="83">
                  <c:v>2.5081300623839957</c:v>
                </c:pt>
                <c:pt idx="84">
                  <c:v>2.528075831463779</c:v>
                </c:pt>
                <c:pt idx="85">
                  <c:v>2.5477568317466939</c:v>
                </c:pt>
                <c:pt idx="86">
                  <c:v>2.5671739416829924</c:v>
                </c:pt>
                <c:pt idx="87">
                  <c:v>2.5863281700334797</c:v>
                </c:pt>
                <c:pt idx="88">
                  <c:v>2.6052206495817352</c:v>
                </c:pt>
                <c:pt idx="89">
                  <c:v>2.6238526309831798</c:v>
                </c:pt>
                <c:pt idx="90">
                  <c:v>2.6422254767538593</c:v>
                </c:pt>
                <c:pt idx="91">
                  <c:v>2.6603406554013502</c:v>
                </c:pt>
                <c:pt idx="92">
                  <c:v>2.6781997356998919</c:v>
                </c:pt>
                <c:pt idx="93">
                  <c:v>2.6958043811113295</c:v>
                </c:pt>
                <c:pt idx="94">
                  <c:v>2.7131563443531466</c:v>
                </c:pt>
                <c:pt idx="95">
                  <c:v>2.7302574621145208</c:v>
                </c:pt>
                <c:pt idx="96">
                  <c:v>2.7471096499209389</c:v>
                </c:pt>
                <c:pt idx="97">
                  <c:v>2.7637148971476408</c:v>
                </c:pt>
                <c:pt idx="98">
                  <c:v>2.7800752621818541</c:v>
                </c:pt>
                <c:pt idx="99">
                  <c:v>2.7961928677334522</c:v>
                </c:pt>
                <c:pt idx="100">
                  <c:v>2.8120698962934685</c:v>
                </c:pt>
                <c:pt idx="101">
                  <c:v>2.8277085857396234</c:v>
                </c:pt>
                <c:pt idx="102">
                  <c:v>2.8431112250877559</c:v>
                </c:pt>
                <c:pt idx="103">
                  <c:v>2.8582801503879036</c:v>
                </c:pt>
                <c:pt idx="104">
                  <c:v>2.8732177407635136</c:v>
                </c:pt>
                <c:pt idx="105">
                  <c:v>2.8879264145921457</c:v>
                </c:pt>
                <c:pt idx="106">
                  <c:v>2.9024086258257769</c:v>
                </c:pt>
                <c:pt idx="107">
                  <c:v>2.9166668604487715</c:v>
                </c:pt>
                <c:pt idx="108">
                  <c:v>2.9307036330713387</c:v>
                </c:pt>
                <c:pt idx="109">
                  <c:v>2.9445214836562368</c:v>
                </c:pt>
                <c:pt idx="110">
                  <c:v>2.9581229743763569</c:v>
                </c:pt>
                <c:pt idx="111">
                  <c:v>2.9715106866007024</c:v>
                </c:pt>
                <c:pt idx="112">
                  <c:v>2.9846872180062101</c:v>
                </c:pt>
                <c:pt idx="113">
                  <c:v>2.9976551798127766</c:v>
                </c:pt>
                <c:pt idx="114">
                  <c:v>3.0104171941387623</c:v>
                </c:pt>
                <c:pt idx="115">
                  <c:v>3.0229758914742582</c:v>
                </c:pt>
                <c:pt idx="116">
                  <c:v>3.035333908269243</c:v>
                </c:pt>
                <c:pt idx="117">
                  <c:v>3.047493884633842</c:v>
                </c:pt>
                <c:pt idx="118">
                  <c:v>3.0594584621477803</c:v>
                </c:pt>
                <c:pt idx="119">
                  <c:v>3.071230281776129</c:v>
                </c:pt>
                <c:pt idx="120">
                  <c:v>3.0828119818884541</c:v>
                </c:pt>
                <c:pt idx="121">
                  <c:v>3.0942061963784306</c:v>
                </c:pt>
                <c:pt idx="122">
                  <c:v>3.1054155528810203</c:v>
                </c:pt>
                <c:pt idx="123">
                  <c:v>3.1164426710842932</c:v>
                </c:pt>
                <c:pt idx="124">
                  <c:v>3.1272901611329784</c:v>
                </c:pt>
                <c:pt idx="125">
                  <c:v>3.1379606221208971</c:v>
                </c:pt>
                <c:pt idx="126">
                  <c:v>3.148456640669389</c:v>
                </c:pt>
                <c:pt idx="127">
                  <c:v>3.1587807895889091</c:v>
                </c:pt>
                <c:pt idx="128">
                  <c:v>3.1689356266209878</c:v>
                </c:pt>
                <c:pt idx="129">
                  <c:v>3.1789236932577882</c:v>
                </c:pt>
                <c:pt idx="130">
                  <c:v>3.1887475136365429</c:v>
                </c:pt>
                <c:pt idx="131">
                  <c:v>3.1984095935061534</c:v>
                </c:pt>
                <c:pt idx="132">
                  <c:v>3.207912419263331</c:v>
                </c:pt>
                <c:pt idx="133">
                  <c:v>3.2172584570556801</c:v>
                </c:pt>
              </c:numCache>
            </c:numRef>
          </c:yVal>
          <c:smooth val="1"/>
          <c:extLst>
            <c:ext xmlns:c16="http://schemas.microsoft.com/office/drawing/2014/chart" uri="{C3380CC4-5D6E-409C-BE32-E72D297353CC}">
              <c16:uniqueId val="{00000002-EE68-4A32-A012-88D366B2ABD4}"/>
            </c:ext>
          </c:extLst>
        </c:ser>
        <c:dLbls>
          <c:showLegendKey val="0"/>
          <c:showVal val="0"/>
          <c:showCatName val="0"/>
          <c:showSerName val="0"/>
          <c:showPercent val="0"/>
          <c:showBubbleSize val="0"/>
        </c:dLbls>
        <c:axId val="323398704"/>
        <c:axId val="323399032"/>
      </c:scatterChart>
      <c:valAx>
        <c:axId val="323398704"/>
        <c:scaling>
          <c:orientation val="minMax"/>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Body weight, kg</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9032"/>
        <c:crosses val="autoZero"/>
        <c:crossBetween val="midCat"/>
      </c:valAx>
      <c:valAx>
        <c:axId val="323399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kg/day</a:t>
                </a:r>
              </a:p>
            </c:rich>
          </c:tx>
          <c:layout>
            <c:manualLayout>
              <c:xMode val="edge"/>
              <c:yMode val="edge"/>
              <c:x val="0"/>
              <c:y val="0.43390183152986794"/>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8704"/>
        <c:crosses val="autoZero"/>
        <c:crossBetween val="midCat"/>
      </c:valAx>
      <c:spPr>
        <a:noFill/>
        <a:ln>
          <a:noFill/>
        </a:ln>
        <a:effectLst/>
      </c:spPr>
    </c:plotArea>
    <c:legend>
      <c:legendPos val="t"/>
      <c:layout>
        <c:manualLayout>
          <c:xMode val="edge"/>
          <c:yMode val="edge"/>
          <c:x val="0.29953457052449273"/>
          <c:y val="5.5693790306714432E-2"/>
          <c:w val="0.39798875537733425"/>
          <c:h val="4.6413479906749204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r>
              <a:rPr lang="en-US" b="1"/>
              <a:t>Average Daily Gain</a:t>
            </a:r>
          </a:p>
        </c:rich>
      </c:tx>
      <c:overlay val="0"/>
      <c:spPr>
        <a:noFill/>
        <a:ln>
          <a:noFill/>
        </a:ln>
        <a:effectLst/>
      </c:spPr>
      <c:txPr>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'E-Barrows'!$I$1</c:f>
              <c:strCache>
                <c:ptCount val="1"/>
                <c:pt idx="0">
                  <c:v>Barrows</c:v>
                </c:pt>
              </c:strCache>
            </c:strRef>
          </c:tx>
          <c:spPr>
            <a:ln w="28575" cap="rnd">
              <a:solidFill>
                <a:schemeClr val="accent1"/>
              </a:solidFill>
              <a:round/>
            </a:ln>
            <a:effectLst/>
          </c:spPr>
          <c:marker>
            <c:symbol val="none"/>
          </c:marker>
          <c:xVal>
            <c:numRef>
              <c:f>[0]!BarrowsBW2</c:f>
              <c:numCache>
                <c:formatCode>0.00</c:formatCode>
                <c:ptCount val="135"/>
                <c:pt idx="0">
                  <c:v>5.9425449780322959</c:v>
                </c:pt>
                <c:pt idx="1">
                  <c:v>6.0312043586488446</c:v>
                </c:pt>
                <c:pt idx="2">
                  <c:v>6.1457977658647787</c:v>
                </c:pt>
                <c:pt idx="3">
                  <c:v>6.2857077228563014</c:v>
                </c:pt>
                <c:pt idx="4">
                  <c:v>6.4503167527996208</c:v>
                </c:pt>
                <c:pt idx="5">
                  <c:v>6.6390073788709403</c:v>
                </c:pt>
                <c:pt idx="6">
                  <c:v>6.8511621242464651</c:v>
                </c:pt>
                <c:pt idx="7">
                  <c:v>7.0861635121023996</c:v>
                </c:pt>
                <c:pt idx="8">
                  <c:v>7.3433940656149517</c:v>
                </c:pt>
                <c:pt idx="9">
                  <c:v>7.622236307960323</c:v>
                </c:pt>
                <c:pt idx="10">
                  <c:v>7.9220727623147207</c:v>
                </c:pt>
                <c:pt idx="11">
                  <c:v>8.2422859518543508</c:v>
                </c:pt>
                <c:pt idx="12">
                  <c:v>8.5822583997554158</c:v>
                </c:pt>
                <c:pt idx="13">
                  <c:v>8.9413726291941238</c:v>
                </c:pt>
                <c:pt idx="14">
                  <c:v>9.3190111633466763</c:v>
                </c:pt>
                <c:pt idx="15">
                  <c:v>9.7145565253892805</c:v>
                </c:pt>
                <c:pt idx="16">
                  <c:v>10.127391238498141</c:v>
                </c:pt>
                <c:pt idx="17">
                  <c:v>10.556897825849465</c:v>
                </c:pt>
                <c:pt idx="18">
                  <c:v>11.002458810619455</c:v>
                </c:pt>
                <c:pt idx="19">
                  <c:v>11.463456715984316</c:v>
                </c:pt>
                <c:pt idx="20">
                  <c:v>11.939274065120255</c:v>
                </c:pt>
                <c:pt idx="21">
                  <c:v>12.429293381203475</c:v>
                </c:pt>
                <c:pt idx="22">
                  <c:v>12.93028505171282</c:v>
                </c:pt>
                <c:pt idx="23">
                  <c:v>13.44249476606848</c:v>
                </c:pt>
                <c:pt idx="24">
                  <c:v>13.966173715088882</c:v>
                </c:pt>
                <c:pt idx="25">
                  <c:v>14.501578714176203</c:v>
                </c:pt>
                <c:pt idx="26">
                  <c:v>15.048972329260261</c:v>
                </c:pt>
                <c:pt idx="27">
                  <c:v>15.60862300556245</c:v>
                </c:pt>
                <c:pt idx="28">
                  <c:v>16.180805199242954</c:v>
                </c:pt>
                <c:pt idx="29">
                  <c:v>16.765799511995745</c:v>
                </c:pt>
                <c:pt idx="30">
                  <c:v>17.363892828657391</c:v>
                </c:pt>
                <c:pt idx="31">
                  <c:v>17.975378457897168</c:v>
                </c:pt>
                <c:pt idx="32">
                  <c:v>18.600556276057425</c:v>
                </c:pt>
                <c:pt idx="33">
                  <c:v>19.239732874214841</c:v>
                </c:pt>
                <c:pt idx="34">
                  <c:v>19.89322170853454</c:v>
                </c:pt>
                <c:pt idx="35">
                  <c:v>20.561343253990987</c:v>
                </c:pt>
                <c:pt idx="36">
                  <c:v>21.244425161530856</c:v>
                </c:pt>
                <c:pt idx="37">
                  <c:v>21.942802418755118</c:v>
                </c:pt>
                <c:pt idx="38">
                  <c:v>22.65681751419902</c:v>
                </c:pt>
                <c:pt idx="39">
                  <c:v>23.386411686162123</c:v>
                </c:pt>
                <c:pt idx="40">
                  <c:v>24.157720482159402</c:v>
                </c:pt>
                <c:pt idx="41">
                  <c:v>24.940610958849899</c:v>
                </c:pt>
                <c:pt idx="42">
                  <c:v>25.734930626210435</c:v>
                </c:pt>
                <c:pt idx="43">
                  <c:v>26.540523845064332</c:v>
                </c:pt>
                <c:pt idx="44">
                  <c:v>27.357231954388702</c:v>
                </c:pt>
                <c:pt idx="45">
                  <c:v>28.184893398714486</c:v>
                </c:pt>
                <c:pt idx="46">
                  <c:v>29.023343855536812</c:v>
                </c:pt>
                <c:pt idx="47">
                  <c:v>29.872416362651112</c:v>
                </c:pt>
                <c:pt idx="48">
                  <c:v>30.731941445326861</c:v>
                </c:pt>
                <c:pt idx="49">
                  <c:v>31.60174724322971</c:v>
                </c:pt>
                <c:pt idx="50">
                  <c:v>32.481659637001293</c:v>
                </c:pt>
                <c:pt idx="51">
                  <c:v>33.371502374404294</c:v>
                </c:pt>
                <c:pt idx="52">
                  <c:v>34.27109719594079</c:v>
                </c:pt>
                <c:pt idx="53">
                  <c:v>35.180263959850777</c:v>
                </c:pt>
                <c:pt idx="54">
                  <c:v>36.098820766398731</c:v>
                </c:pt>
                <c:pt idx="55">
                  <c:v>37.0265840813558</c:v>
                </c:pt>
                <c:pt idx="56">
                  <c:v>37.963368858586996</c:v>
                </c:pt>
                <c:pt idx="57">
                  <c:v>38.908988661652934</c:v>
                </c:pt>
                <c:pt idx="58">
                  <c:v>39.863255784337632</c:v>
                </c:pt>
                <c:pt idx="59">
                  <c:v>40.825981370015612</c:v>
                </c:pt>
                <c:pt idx="60">
                  <c:v>41.796975529772723</c:v>
                </c:pt>
                <c:pt idx="61">
                  <c:v>42.77604745919831</c:v>
                </c:pt>
                <c:pt idx="62">
                  <c:v>43.763005553767456</c:v>
                </c:pt>
                <c:pt idx="63">
                  <c:v>44.7576575227353</c:v>
                </c:pt>
                <c:pt idx="64">
                  <c:v>45.759810501467783</c:v>
                </c:pt>
                <c:pt idx="65">
                  <c:v>46.769271162135865</c:v>
                </c:pt>
                <c:pt idx="66">
                  <c:v>47.785845822703358</c:v>
                </c:pt>
                <c:pt idx="67">
                  <c:v>48.809340554141265</c:v>
                </c:pt>
                <c:pt idx="68">
                  <c:v>49.839561285804827</c:v>
                </c:pt>
                <c:pt idx="69">
                  <c:v>50.876313908912685</c:v>
                </c:pt>
                <c:pt idx="70">
                  <c:v>51.919404378070588</c:v>
                </c:pt>
                <c:pt idx="71">
                  <c:v>52.968638810785691</c:v>
                </c:pt>
                <c:pt idx="72">
                  <c:v>54.023823584920798</c:v>
                </c:pt>
                <c:pt idx="73">
                  <c:v>55.084765434041167</c:v>
                </c:pt>
                <c:pt idx="74">
                  <c:v>56.151271540610004</c:v>
                </c:pt>
                <c:pt idx="75">
                  <c:v>57.223149626992452</c:v>
                </c:pt>
                <c:pt idx="76">
                  <c:v>58.30020804423097</c:v>
                </c:pt>
                <c:pt idx="77">
                  <c:v>59.382255858558715</c:v>
                </c:pt>
                <c:pt idx="78">
                  <c:v>60.469102935620889</c:v>
                </c:pt>
                <c:pt idx="79">
                  <c:v>61.560560022377558</c:v>
                </c:pt>
                <c:pt idx="80">
                  <c:v>62.656438826664392</c:v>
                </c:pt>
                <c:pt idx="81">
                  <c:v>63.756552094392042</c:v>
                </c:pt>
                <c:pt idx="82">
                  <c:v>64.860713684367099</c:v>
                </c:pt>
                <c:pt idx="83">
                  <c:v>65.968738640721526</c:v>
                </c:pt>
                <c:pt idx="84">
                  <c:v>67.080443262940634</c:v>
                </c:pt>
                <c:pt idx="85">
                  <c:v>68.195645173482447</c:v>
                </c:pt>
                <c:pt idx="86">
                  <c:v>69.314163382984603</c:v>
                </c:pt>
                <c:pt idx="87">
                  <c:v>70.435818353058067</c:v>
                </c:pt>
                <c:pt idx="88">
                  <c:v>71.560432056669441</c:v>
                </c:pt>
                <c:pt idx="89">
                  <c:v>72.687828036116997</c:v>
                </c:pt>
                <c:pt idx="90">
                  <c:v>73.817831458607799</c:v>
                </c:pt>
                <c:pt idx="91">
                  <c:v>74.950269169446372</c:v>
                </c:pt>
                <c:pt idx="92">
                  <c:v>76.084969742847761</c:v>
                </c:pt>
                <c:pt idx="93">
                  <c:v>77.221763530389765</c:v>
                </c:pt>
                <c:pt idx="94">
                  <c:v>78.360482707123239</c:v>
                </c:pt>
                <c:pt idx="95">
                  <c:v>79.500961315358879</c:v>
                </c:pt>
                <c:pt idx="96">
                  <c:v>80.643035306153848</c:v>
                </c:pt>
                <c:pt idx="97">
                  <c:v>81.786542578521747</c:v>
                </c:pt>
                <c:pt idx="98">
                  <c:v>82.931323016392525</c:v>
                </c:pt>
                <c:pt idx="99">
                  <c:v>84.077218523350041</c:v>
                </c:pt>
                <c:pt idx="100">
                  <c:v>85.224073055177485</c:v>
                </c:pt>
                <c:pt idx="101">
                  <c:v>86.371732650241555</c:v>
                </c:pt>
                <c:pt idx="102">
                  <c:v>87.52004545774922</c:v>
                </c:pt>
                <c:pt idx="103">
                  <c:v>88.668861763910883</c:v>
                </c:pt>
                <c:pt idx="104">
                  <c:v>89.818034016046113</c:v>
                </c:pt>
                <c:pt idx="105">
                  <c:v>90.967416844669373</c:v>
                </c:pt>
                <c:pt idx="106">
                  <c:v>92.116867083593206</c:v>
                </c:pt>
                <c:pt idx="107">
                  <c:v>93.266243788089383</c:v>
                </c:pt>
                <c:pt idx="108">
                  <c:v>94.415408251147269</c:v>
                </c:pt>
                <c:pt idx="109">
                  <c:v>95.564224017871567</c:v>
                </c:pt>
                <c:pt idx="110">
                  <c:v>96.712556898060484</c:v>
                </c:pt>
                <c:pt idx="111">
                  <c:v>97.860274977008217</c:v>
                </c:pt>
                <c:pt idx="112">
                  <c:v>99.007248624573791</c:v>
                </c:pt>
                <c:pt idx="113">
                  <c:v>100.15335050256107</c:v>
                </c:pt>
                <c:pt idx="114">
                  <c:v>101.29845557045405</c:v>
                </c:pt>
                <c:pt idx="115">
                  <c:v>102.44244108955142</c:v>
                </c:pt>
                <c:pt idx="116">
                  <c:v>103.58518662554634</c:v>
                </c:pt>
                <c:pt idx="117">
                  <c:v>104.72657404959587</c:v>
                </c:pt>
                <c:pt idx="118">
                  <c:v>105.86648753792561</c:v>
                </c:pt>
                <c:pt idx="119">
                  <c:v>107.00481357001502</c:v>
                </c:pt>
                <c:pt idx="120">
                  <c:v>108.14144092540845</c:v>
                </c:pt>
                <c:pt idx="121">
                  <c:v>109.27626067919756</c:v>
                </c:pt>
                <c:pt idx="122">
                  <c:v>110.40916619622007</c:v>
                </c:pt>
                <c:pt idx="123">
                  <c:v>111.54005312402005</c:v>
                </c:pt>
                <c:pt idx="124">
                  <c:v>112.66881938461427</c:v>
                </c:pt>
                <c:pt idx="125">
                  <c:v>113.79536516510929</c:v>
                </c:pt>
                <c:pt idx="126">
                  <c:v>114.91959290721334</c:v>
                </c:pt>
                <c:pt idx="127">
                  <c:v>116.04140729568708</c:v>
                </c:pt>
                <c:pt idx="128">
                  <c:v>117.16071524577572</c:v>
                </c:pt>
                <c:pt idx="129">
                  <c:v>118.27742588966635</c:v>
                </c:pt>
                <c:pt idx="130">
                  <c:v>119.39145056201224</c:v>
                </c:pt>
                <c:pt idx="131">
                  <c:v>120.50270278456624</c:v>
                </c:pt>
                <c:pt idx="132">
                  <c:v>121.6110982499637</c:v>
                </c:pt>
                <c:pt idx="133">
                  <c:v>122.71655480469713</c:v>
                </c:pt>
                <c:pt idx="134">
                  <c:v>123.81899243132042</c:v>
                </c:pt>
              </c:numCache>
            </c:numRef>
          </c:xVal>
          <c:yVal>
            <c:numRef>
              <c:f>[0]!BarrowsADG2</c:f>
              <c:numCache>
                <c:formatCode>0</c:formatCode>
                <c:ptCount val="134"/>
                <c:pt idx="0">
                  <c:v>88.659380616548404</c:v>
                </c:pt>
                <c:pt idx="1">
                  <c:v>114.59340721593419</c:v>
                </c:pt>
                <c:pt idx="2">
                  <c:v>139.90995699152279</c:v>
                </c:pt>
                <c:pt idx="3">
                  <c:v>164.60902994331906</c:v>
                </c:pt>
                <c:pt idx="4">
                  <c:v>188.69062607131909</c:v>
                </c:pt>
                <c:pt idx="5">
                  <c:v>212.1547453755249</c:v>
                </c:pt>
                <c:pt idx="6">
                  <c:v>235.00138785593444</c:v>
                </c:pt>
                <c:pt idx="7">
                  <c:v>257.23055351255169</c:v>
                </c:pt>
                <c:pt idx="8">
                  <c:v>278.84224234537174</c:v>
                </c:pt>
                <c:pt idx="9">
                  <c:v>299.83645435439746</c:v>
                </c:pt>
                <c:pt idx="10">
                  <c:v>320.21318953962992</c:v>
                </c:pt>
                <c:pt idx="11">
                  <c:v>339.97244790106521</c:v>
                </c:pt>
                <c:pt idx="12">
                  <c:v>359.11422943870821</c:v>
                </c:pt>
                <c:pt idx="13">
                  <c:v>377.63853415255193</c:v>
                </c:pt>
                <c:pt idx="14">
                  <c:v>395.54536204260438</c:v>
                </c:pt>
                <c:pt idx="15">
                  <c:v>412.83471310886159</c:v>
                </c:pt>
                <c:pt idx="16">
                  <c:v>429.50658735132356</c:v>
                </c:pt>
                <c:pt idx="17">
                  <c:v>445.56098476999023</c:v>
                </c:pt>
                <c:pt idx="18">
                  <c:v>460.99790536486171</c:v>
                </c:pt>
                <c:pt idx="19">
                  <c:v>475.81734913593982</c:v>
                </c:pt>
                <c:pt idx="20">
                  <c:v>490.01931608322076</c:v>
                </c:pt>
                <c:pt idx="21">
                  <c:v>500.99167050934449</c:v>
                </c:pt>
                <c:pt idx="22">
                  <c:v>512.20971435566025</c:v>
                </c:pt>
                <c:pt idx="23">
                  <c:v>523.67894902040234</c:v>
                </c:pt>
                <c:pt idx="24">
                  <c:v>535.40499908732124</c:v>
                </c:pt>
                <c:pt idx="25">
                  <c:v>547.39361508405841</c:v>
                </c:pt>
                <c:pt idx="26">
                  <c:v>559.65067630218937</c:v>
                </c:pt>
                <c:pt idx="27">
                  <c:v>572.18219368050291</c:v>
                </c:pt>
                <c:pt idx="28">
                  <c:v>584.99431275278982</c:v>
                </c:pt>
                <c:pt idx="29">
                  <c:v>598.09331666164519</c:v>
                </c:pt>
                <c:pt idx="30">
                  <c:v>611.48562923977795</c:v>
                </c:pt>
                <c:pt idx="31">
                  <c:v>625.17781816025695</c:v>
                </c:pt>
                <c:pt idx="32">
                  <c:v>639.17659815741717</c:v>
                </c:pt>
                <c:pt idx="33">
                  <c:v>653.48883431970069</c:v>
                </c:pt>
                <c:pt idx="34">
                  <c:v>668.1215454564466</c:v>
                </c:pt>
                <c:pt idx="35">
                  <c:v>683.08190753986833</c:v>
                </c:pt>
                <c:pt idx="36">
                  <c:v>698.37725722426308</c:v>
                </c:pt>
                <c:pt idx="37">
                  <c:v>714.0150954438999</c:v>
                </c:pt>
                <c:pt idx="38">
                  <c:v>729.5941719631046</c:v>
                </c:pt>
                <c:pt idx="39">
                  <c:v>771.30879599727928</c:v>
                </c:pt>
                <c:pt idx="40">
                  <c:v>782.89047669049739</c:v>
                </c:pt>
                <c:pt idx="41">
                  <c:v>794.31966736053687</c:v>
                </c:pt>
                <c:pt idx="42">
                  <c:v>805.59321885389659</c:v>
                </c:pt>
                <c:pt idx="43">
                  <c:v>816.70810932437041</c:v>
                </c:pt>
                <c:pt idx="44">
                  <c:v>827.66144432578335</c:v>
                </c:pt>
                <c:pt idx="45">
                  <c:v>838.45045682232421</c:v>
                </c:pt>
                <c:pt idx="46">
                  <c:v>849.07250711430095</c:v>
                </c:pt>
                <c:pt idx="47">
                  <c:v>859.52508267574899</c:v>
                </c:pt>
                <c:pt idx="48">
                  <c:v>869.80579790284935</c:v>
                </c:pt>
                <c:pt idx="49">
                  <c:v>879.91239377158377</c:v>
                </c:pt>
                <c:pt idx="50">
                  <c:v>889.84273740300398</c:v>
                </c:pt>
                <c:pt idx="51">
                  <c:v>899.59482153649594</c:v>
                </c:pt>
                <c:pt idx="52">
                  <c:v>909.16676390998884</c:v>
                </c:pt>
                <c:pt idx="53">
                  <c:v>918.55680654795128</c:v>
                </c:pt>
                <c:pt idx="54">
                  <c:v>927.76331495707177</c:v>
                </c:pt>
                <c:pt idx="55">
                  <c:v>936.78477723119738</c:v>
                </c:pt>
                <c:pt idx="56">
                  <c:v>945.61980306594012</c:v>
                </c:pt>
                <c:pt idx="57">
                  <c:v>954.26712268469919</c:v>
                </c:pt>
                <c:pt idx="58">
                  <c:v>962.72558567797989</c:v>
                </c:pt>
                <c:pt idx="59">
                  <c:v>970.99415975711463</c:v>
                </c:pt>
                <c:pt idx="60">
                  <c:v>979.07192942558936</c:v>
                </c:pt>
                <c:pt idx="61">
                  <c:v>986.95809456914344</c:v>
                </c:pt>
                <c:pt idx="62">
                  <c:v>994.65196896784448</c:v>
                </c:pt>
                <c:pt idx="63">
                  <c:v>1002.1529787324823</c:v>
                </c:pt>
                <c:pt idx="64">
                  <c:v>1009.4606606680793</c:v>
                </c:pt>
                <c:pt idx="65">
                  <c:v>1016.5746605674959</c:v>
                </c:pt>
                <c:pt idx="66">
                  <c:v>1023.4947314379049</c:v>
                </c:pt>
                <c:pt idx="67">
                  <c:v>1030.2207316635643</c:v>
                </c:pt>
                <c:pt idx="68">
                  <c:v>1036.7526231078571</c:v>
                </c:pt>
                <c:pt idx="69">
                  <c:v>1043.0904691579055</c:v>
                </c:pt>
                <c:pt idx="70">
                  <c:v>1049.2344327151006</c:v>
                </c:pt>
                <c:pt idx="71">
                  <c:v>1055.1847741351091</c:v>
                </c:pt>
                <c:pt idx="72">
                  <c:v>1060.9418491203651</c:v>
                </c:pt>
                <c:pt idx="73">
                  <c:v>1066.506106568839</c:v>
                </c:pt>
                <c:pt idx="74">
                  <c:v>1071.8780863824443</c:v>
                </c:pt>
                <c:pt idx="75">
                  <c:v>1077.0584172385186</c:v>
                </c:pt>
                <c:pt idx="76">
                  <c:v>1082.0478143277408</c:v>
                </c:pt>
                <c:pt idx="77">
                  <c:v>1086.847077062175</c:v>
                </c:pt>
                <c:pt idx="78">
                  <c:v>1091.4570867566727</c:v>
                </c:pt>
                <c:pt idx="79">
                  <c:v>1095.8788042868327</c:v>
                </c:pt>
                <c:pt idx="80">
                  <c:v>1100.113267727651</c:v>
                </c:pt>
                <c:pt idx="81">
                  <c:v>1104.1615899750511</c:v>
                </c:pt>
                <c:pt idx="82">
                  <c:v>1108.0249563544314</c:v>
                </c:pt>
                <c:pt idx="83">
                  <c:v>1111.7046222191107</c:v>
                </c:pt>
                <c:pt idx="84">
                  <c:v>1115.2019105418171</c:v>
                </c:pt>
                <c:pt idx="85">
                  <c:v>1118.5182095021596</c:v>
                </c:pt>
                <c:pt idx="86">
                  <c:v>1121.6549700734711</c:v>
                </c:pt>
                <c:pt idx="87">
                  <c:v>1124.6137036113762</c:v>
                </c:pt>
                <c:pt idx="88">
                  <c:v>1127.3959794475604</c:v>
                </c:pt>
                <c:pt idx="89">
                  <c:v>1130.0034224907995</c:v>
                </c:pt>
                <c:pt idx="90">
                  <c:v>1132.4377108385704</c:v>
                </c:pt>
                <c:pt idx="91">
                  <c:v>1134.7005734013926</c:v>
                </c:pt>
                <c:pt idx="92">
                  <c:v>1136.7937875420041</c:v>
                </c:pt>
                <c:pt idx="93">
                  <c:v>1138.7191767334762</c:v>
                </c:pt>
                <c:pt idx="94">
                  <c:v>1140.4786082356436</c:v>
                </c:pt>
                <c:pt idx="95">
                  <c:v>1142.0739907949705</c:v>
                </c:pt>
                <c:pt idx="96">
                  <c:v>1143.5072723678963</c:v>
                </c:pt>
                <c:pt idx="97">
                  <c:v>1144.7804378707719</c:v>
                </c:pt>
                <c:pt idx="98">
                  <c:v>1145.89550695752</c:v>
                </c:pt>
                <c:pt idx="99">
                  <c:v>1146.8545318274371</c:v>
                </c:pt>
                <c:pt idx="100">
                  <c:v>1147.6595950640633</c:v>
                </c:pt>
                <c:pt idx="101">
                  <c:v>1148.3128075076688</c:v>
                </c:pt>
                <c:pt idx="102">
                  <c:v>1148.8163061616572</c:v>
                </c:pt>
                <c:pt idx="103">
                  <c:v>1149.1722521352349</c:v>
                </c:pt>
                <c:pt idx="104">
                  <c:v>1149.3828286232572</c:v>
                </c:pt>
                <c:pt idx="105">
                  <c:v>1149.4502389238269</c:v>
                </c:pt>
                <c:pt idx="106">
                  <c:v>1149.376704496171</c:v>
                </c:pt>
                <c:pt idx="107">
                  <c:v>1149.164463057886</c:v>
                </c:pt>
                <c:pt idx="108">
                  <c:v>1148.8157667242904</c:v>
                </c:pt>
                <c:pt idx="109">
                  <c:v>1148.3328801889193</c:v>
                </c:pt>
                <c:pt idx="110">
                  <c:v>1147.71807894774</c:v>
                </c:pt>
                <c:pt idx="111">
                  <c:v>1146.9736475655714</c:v>
                </c:pt>
                <c:pt idx="112">
                  <c:v>1146.101877987277</c:v>
                </c:pt>
                <c:pt idx="113">
                  <c:v>1145.1050678929789</c:v>
                </c:pt>
                <c:pt idx="114">
                  <c:v>1143.985519097371</c:v>
                </c:pt>
                <c:pt idx="115">
                  <c:v>1142.7455359949163</c:v>
                </c:pt>
                <c:pt idx="116">
                  <c:v>1141.3874240495209</c:v>
                </c:pt>
                <c:pt idx="117">
                  <c:v>1139.9134883297329</c:v>
                </c:pt>
                <c:pt idx="118">
                  <c:v>1138.3260320894028</c:v>
                </c:pt>
                <c:pt idx="119">
                  <c:v>1136.6273553934293</c:v>
                </c:pt>
                <c:pt idx="120">
                  <c:v>1134.8197537891112</c:v>
                </c:pt>
                <c:pt idx="121">
                  <c:v>1132.905517022504</c:v>
                </c:pt>
                <c:pt idx="122">
                  <c:v>1130.8869277999738</c:v>
                </c:pt>
                <c:pt idx="123">
                  <c:v>1128.7662605942121</c:v>
                </c:pt>
                <c:pt idx="124">
                  <c:v>1126.5457804950208</c:v>
                </c:pt>
                <c:pt idx="125">
                  <c:v>1124.2277421040578</c:v>
                </c:pt>
                <c:pt idx="126">
                  <c:v>1121.8143884737431</c:v>
                </c:pt>
                <c:pt idx="127">
                  <c:v>1119.3079500886363</c:v>
                </c:pt>
                <c:pt idx="128">
                  <c:v>1116.7106438906299</c:v>
                </c:pt>
                <c:pt idx="129">
                  <c:v>1114.0246723458931</c:v>
                </c:pt>
                <c:pt idx="130">
                  <c:v>1111.2522225540033</c:v>
                </c:pt>
                <c:pt idx="131">
                  <c:v>1108.3954653974647</c:v>
                </c:pt>
                <c:pt idx="132">
                  <c:v>1105.4565547334289</c:v>
                </c:pt>
                <c:pt idx="133">
                  <c:v>1102.4376266232978</c:v>
                </c:pt>
              </c:numCache>
            </c:numRef>
          </c:yVal>
          <c:smooth val="1"/>
          <c:extLst>
            <c:ext xmlns:c16="http://schemas.microsoft.com/office/drawing/2014/chart" uri="{C3380CC4-5D6E-409C-BE32-E72D297353CC}">
              <c16:uniqueId val="{00000004-85C7-4A0D-843E-A7E336B61472}"/>
            </c:ext>
          </c:extLst>
        </c:ser>
        <c:ser>
          <c:idx val="2"/>
          <c:order val="1"/>
          <c:tx>
            <c:strRef>
              <c:f>'E-Mixed'!$I$1</c:f>
              <c:strCache>
                <c:ptCount val="1"/>
                <c:pt idx="0">
                  <c:v>Mixed Gender</c:v>
                </c:pt>
              </c:strCache>
            </c:strRef>
          </c:tx>
          <c:spPr>
            <a:ln w="28575" cap="rnd">
              <a:solidFill>
                <a:schemeClr val="accent3"/>
              </a:solidFill>
              <a:round/>
            </a:ln>
            <a:effectLst/>
          </c:spPr>
          <c:marker>
            <c:symbol val="none"/>
          </c:marker>
          <c:xVal>
            <c:numRef>
              <c:f>[0]!MixedBW2</c:f>
              <c:numCache>
                <c:formatCode>0.00</c:formatCode>
                <c:ptCount val="135"/>
                <c:pt idx="0">
                  <c:v>6</c:v>
                </c:pt>
                <c:pt idx="1">
                  <c:v>6.0890879786902508</c:v>
                </c:pt>
                <c:pt idx="2">
                  <c:v>6.2042353545133473</c:v>
                </c:pt>
                <c:pt idx="3">
                  <c:v>6.3448216656327858</c:v>
                </c:pt>
                <c:pt idx="4">
                  <c:v>6.5102264502120768</c:v>
                </c:pt>
                <c:pt idx="5">
                  <c:v>6.69982924641472</c:v>
                </c:pt>
                <c:pt idx="6">
                  <c:v>6.9130095924042214</c:v>
                </c:pt>
                <c:pt idx="7">
                  <c:v>7.1491470263440835</c:v>
                </c:pt>
                <c:pt idx="8">
                  <c:v>7.4076210863978105</c:v>
                </c:pt>
                <c:pt idx="9">
                  <c:v>7.6878113107289057</c:v>
                </c:pt>
                <c:pt idx="10">
                  <c:v>7.9890972375008733</c:v>
                </c:pt>
                <c:pt idx="11">
                  <c:v>8.3108584048772194</c:v>
                </c:pt>
                <c:pt idx="12">
                  <c:v>8.6524743510214428</c:v>
                </c:pt>
                <c:pt idx="13">
                  <c:v>9.0133246140970478</c:v>
                </c:pt>
                <c:pt idx="14">
                  <c:v>9.3927887322675438</c:v>
                </c:pt>
                <c:pt idx="15">
                  <c:v>9.7902462436964282</c:v>
                </c:pt>
                <c:pt idx="16">
                  <c:v>10.205076686547208</c:v>
                </c:pt>
                <c:pt idx="17">
                  <c:v>10.636659598983389</c:v>
                </c:pt>
                <c:pt idx="18">
                  <c:v>11.08437451916847</c:v>
                </c:pt>
                <c:pt idx="19">
                  <c:v>11.547600985265957</c:v>
                </c:pt>
                <c:pt idx="20">
                  <c:v>12.025718535439355</c:v>
                </c:pt>
                <c:pt idx="21">
                  <c:v>12.518106707852166</c:v>
                </c:pt>
                <c:pt idx="22">
                  <c:v>13.021520277357745</c:v>
                </c:pt>
                <c:pt idx="23">
                  <c:v>13.536206121090565</c:v>
                </c:pt>
                <c:pt idx="24">
                  <c:v>14.062416644178242</c:v>
                </c:pt>
                <c:pt idx="25">
                  <c:v>14.600409903522564</c:v>
                </c:pt>
                <c:pt idx="26">
                  <c:v>15.150449734352225</c:v>
                </c:pt>
                <c:pt idx="27">
                  <c:v>15.71280587960922</c:v>
                </c:pt>
                <c:pt idx="28">
                  <c:v>16.287754122232471</c:v>
                </c:pt>
                <c:pt idx="29">
                  <c:v>16.875576420403497</c:v>
                </c:pt>
                <c:pt idx="30">
                  <c:v>17.476561045820446</c:v>
                </c:pt>
                <c:pt idx="31">
                  <c:v>18.091002725068329</c:v>
                </c:pt>
                <c:pt idx="32">
                  <c:v>18.719202784154728</c:v>
                </c:pt>
                <c:pt idx="33">
                  <c:v>19.36146929628201</c:v>
                </c:pt>
                <c:pt idx="34">
                  <c:v>20.018117232928262</c:v>
                </c:pt>
                <c:pt idx="35">
                  <c:v>20.689468618311306</c:v>
                </c:pt>
                <c:pt idx="36">
                  <c:v>21.375852687311333</c:v>
                </c:pt>
                <c:pt idx="37">
                  <c:v>22.077606046929766</c:v>
                </c:pt>
                <c:pt idx="38">
                  <c:v>22.795072841363378</c:v>
                </c:pt>
                <c:pt idx="39">
                  <c:v>23.528194024845337</c:v>
                </c:pt>
                <c:pt idx="40">
                  <c:v>24.279978571820696</c:v>
                </c:pt>
                <c:pt idx="41">
                  <c:v>25.042361886562691</c:v>
                </c:pt>
                <c:pt idx="42">
                  <c:v>25.815196947691</c:v>
                </c:pt>
                <c:pt idx="43">
                  <c:v>26.598334463526566</c:v>
                </c:pt>
                <c:pt idx="44">
                  <c:v>27.391622975758104</c:v>
                </c:pt>
                <c:pt idx="45">
                  <c:v>28.194908962891979</c:v>
                </c:pt>
                <c:pt idx="46">
                  <c:v>29.008036943424592</c:v>
                </c:pt>
                <c:pt idx="47">
                  <c:v>29.830849578675302</c:v>
                </c:pt>
                <c:pt idx="48">
                  <c:v>30.663187775215619</c:v>
                </c:pt>
                <c:pt idx="49">
                  <c:v>31.504890786830554</c:v>
                </c:pt>
                <c:pt idx="50">
                  <c:v>32.355796315946755</c:v>
                </c:pt>
                <c:pt idx="51">
                  <c:v>33.215740614461993</c:v>
                </c:pt>
                <c:pt idx="52">
                  <c:v>34.084558583910592</c:v>
                </c:pt>
                <c:pt idx="53">
                  <c:v>34.96208387489947</c:v>
                </c:pt>
                <c:pt idx="54">
                  <c:v>35.848148985750264</c:v>
                </c:pt>
                <c:pt idx="55">
                  <c:v>36.742585360283307</c:v>
                </c:pt>
                <c:pt idx="56">
                  <c:v>37.645223484680592</c:v>
                </c:pt>
                <c:pt idx="57">
                  <c:v>38.555892983365545</c:v>
                </c:pt>
                <c:pt idx="58">
                  <c:v>39.474422713839076</c:v>
                </c:pt>
                <c:pt idx="59">
                  <c:v>40.400640860412537</c:v>
                </c:pt>
                <c:pt idx="60">
                  <c:v>41.334375026779924</c:v>
                </c:pt>
                <c:pt idx="61">
                  <c:v>42.27545232737338</c:v>
                </c:pt>
                <c:pt idx="62">
                  <c:v>43.223699477447909</c:v>
                </c:pt>
                <c:pt idx="63">
                  <c:v>44.178942881842943</c:v>
                </c:pt>
                <c:pt idx="64">
                  <c:v>45.141008722370863</c:v>
                </c:pt>
                <c:pt idx="65">
                  <c:v>46.109723043784157</c:v>
                </c:pt>
                <c:pt idx="66">
                  <c:v>47.084911838275637</c:v>
                </c:pt>
                <c:pt idx="67">
                  <c:v>48.066401128467909</c:v>
                </c:pt>
                <c:pt idx="68">
                  <c:v>49.054017048851073</c:v>
                </c:pt>
                <c:pt idx="69">
                  <c:v>50.047585925629484</c:v>
                </c:pt>
                <c:pt idx="70">
                  <c:v>51.046934354941378</c:v>
                </c:pt>
                <c:pt idx="71">
                  <c:v>52.051889279416983</c:v>
                </c:pt>
                <c:pt idx="72">
                  <c:v>53.062278063043777</c:v>
                </c:pt>
                <c:pt idx="73">
                  <c:v>54.077928564309673</c:v>
                </c:pt>
                <c:pt idx="74">
                  <c:v>55.09866920759714</c:v>
                </c:pt>
                <c:pt idx="75">
                  <c:v>56.124329052804697</c:v>
                </c:pt>
                <c:pt idx="76">
                  <c:v>57.154737863173288</c:v>
                </c:pt>
                <c:pt idx="77">
                  <c:v>58.18972617129895</c:v>
                </c:pt>
                <c:pt idx="78">
                  <c:v>59.229125343314294</c:v>
                </c:pt>
                <c:pt idx="79">
                  <c:v>60.272767641224874</c:v>
                </c:pt>
                <c:pt idx="80">
                  <c:v>61.320486283387936</c:v>
                </c:pt>
                <c:pt idx="81">
                  <c:v>62.372115503124206</c:v>
                </c:pt>
                <c:pt idx="82">
                  <c:v>63.427490605455077</c:v>
                </c:pt>
                <c:pt idx="83">
                  <c:v>64.48644802195993</c:v>
                </c:pt>
                <c:pt idx="84">
                  <c:v>65.548825363751163</c:v>
                </c:pt>
                <c:pt idx="85">
                  <c:v>66.614461472565523</c:v>
                </c:pt>
                <c:pt idx="86">
                  <c:v>67.683196469973424</c:v>
                </c:pt>
                <c:pt idx="87">
                  <c:v>68.75487180470995</c:v>
                </c:pt>
                <c:pt idx="88">
                  <c:v>69.82933029813212</c:v>
                </c:pt>
                <c:pt idx="89">
                  <c:v>70.906416187810777</c:v>
                </c:pt>
                <c:pt idx="90">
                  <c:v>71.9859751692656</c:v>
                </c:pt>
                <c:pt idx="91">
                  <c:v>73.067854435854514</c:v>
                </c:pt>
                <c:pt idx="92">
                  <c:v>74.151902716830364</c:v>
                </c:pt>
                <c:pt idx="93">
                  <c:v>75.237970313579126</c:v>
                </c:pt>
                <c:pt idx="94">
                  <c:v>76.325909134055976</c:v>
                </c:pt>
                <c:pt idx="95">
                  <c:v>77.415572725436576</c:v>
                </c:pt>
                <c:pt idx="96">
                  <c:v>78.506816305002587</c:v>
                </c:pt>
                <c:pt idx="97">
                  <c:v>79.599496789282341</c:v>
                </c:pt>
                <c:pt idx="98">
                  <c:v>80.693472821467722</c:v>
                </c:pt>
                <c:pt idx="99">
                  <c:v>81.788604797131015</c:v>
                </c:pt>
                <c:pt idx="100">
                  <c:v>82.884754888265434</c:v>
                </c:pt>
                <c:pt idx="101">
                  <c:v>83.981787065674723</c:v>
                </c:pt>
                <c:pt idx="102">
                  <c:v>85.079567119738485</c:v>
                </c:pt>
                <c:pt idx="103">
                  <c:v>86.17796267958019</c:v>
                </c:pt>
                <c:pt idx="104">
                  <c:v>87.276843230666159</c:v>
                </c:pt>
                <c:pt idx="105">
                  <c:v>88.376080130864835</c:v>
                </c:pt>
                <c:pt idx="106">
                  <c:v>89.475546624995644</c:v>
                </c:pt>
                <c:pt idx="107">
                  <c:v>90.575117857898576</c:v>
                </c:pt>
                <c:pt idx="108">
                  <c:v>91.674670886054855</c:v>
                </c:pt>
                <c:pt idx="109">
                  <c:v>92.774084687791046</c:v>
                </c:pt>
                <c:pt idx="110">
                  <c:v>93.873240172098434</c:v>
                </c:pt>
                <c:pt idx="111">
                  <c:v>94.97202018610038</c:v>
                </c:pt>
                <c:pt idx="112">
                  <c:v>96.07030952120067</c:v>
                </c:pt>
                <c:pt idx="113">
                  <c:v>97.167994917946046</c:v>
                </c:pt>
                <c:pt idx="114">
                  <c:v>98.264965069636901</c:v>
                </c:pt>
                <c:pt idx="115">
                  <c:v>99.361110624719302</c:v>
                </c:pt>
                <c:pt idx="116">
                  <c:v>100.45632418799291</c:v>
                </c:pt>
                <c:pt idx="117">
                  <c:v>101.55050032066856</c:v>
                </c:pt>
                <c:pt idx="118">
                  <c:v>102.64353553930961</c:v>
                </c:pt>
                <c:pt idx="119">
                  <c:v>103.73532831369133</c:v>
                </c:pt>
                <c:pt idx="120">
                  <c:v>104.82577906361227</c:v>
                </c:pt>
                <c:pt idx="121">
                  <c:v>105.91479015469183</c:v>
                </c:pt>
                <c:pt idx="122">
                  <c:v>107.0022658931876</c:v>
                </c:pt>
                <c:pt idx="123">
                  <c:v>108.0881125198667</c:v>
                </c:pt>
                <c:pt idx="124">
                  <c:v>109.17223820296418</c:v>
                </c:pt>
                <c:pt idx="125">
                  <c:v>110.25455303026199</c:v>
                </c:pt>
                <c:pt idx="126">
                  <c:v>111.33496900032156</c:v>
                </c:pt>
                <c:pt idx="127">
                  <c:v>112.41340001290301</c:v>
                </c:pt>
                <c:pt idx="128">
                  <c:v>113.48976185860258</c:v>
                </c:pt>
                <c:pt idx="129">
                  <c:v>114.56397220774132</c:v>
                </c:pt>
                <c:pt idx="130">
                  <c:v>115.63595059853606</c:v>
                </c:pt>
                <c:pt idx="131">
                  <c:v>116.70561842458424</c:v>
                </c:pt>
                <c:pt idx="132">
                  <c:v>117.77289892169298</c:v>
                </c:pt>
                <c:pt idx="133">
                  <c:v>118.83771715408352</c:v>
                </c:pt>
                <c:pt idx="134">
                  <c:v>119.90000000000005</c:v>
                </c:pt>
              </c:numCache>
            </c:numRef>
          </c:xVal>
          <c:yVal>
            <c:numRef>
              <c:f>[0]!MixedADG2</c:f>
              <c:numCache>
                <c:formatCode>0</c:formatCode>
                <c:ptCount val="134"/>
                <c:pt idx="0">
                  <c:v>89.087978690251191</c:v>
                </c:pt>
                <c:pt idx="1">
                  <c:v>115.14737582309647</c:v>
                </c:pt>
                <c:pt idx="2">
                  <c:v>140.58631111943862</c:v>
                </c:pt>
                <c:pt idx="3">
                  <c:v>165.40478457929134</c:v>
                </c:pt>
                <c:pt idx="4">
                  <c:v>189.60279620264291</c:v>
                </c:pt>
                <c:pt idx="5">
                  <c:v>213.18034598950112</c:v>
                </c:pt>
                <c:pt idx="6">
                  <c:v>236.13743393986215</c:v>
                </c:pt>
                <c:pt idx="7">
                  <c:v>258.47406005372687</c:v>
                </c:pt>
                <c:pt idx="8">
                  <c:v>280.19022433109529</c:v>
                </c:pt>
                <c:pt idx="9">
                  <c:v>301.28592677196752</c:v>
                </c:pt>
                <c:pt idx="10">
                  <c:v>321.76116737634538</c:v>
                </c:pt>
                <c:pt idx="11">
                  <c:v>341.61594614422398</c:v>
                </c:pt>
                <c:pt idx="12">
                  <c:v>360.85026307560543</c:v>
                </c:pt>
                <c:pt idx="13">
                  <c:v>379.46411817049545</c:v>
                </c:pt>
                <c:pt idx="14">
                  <c:v>397.45751142888435</c:v>
                </c:pt>
                <c:pt idx="15">
                  <c:v>414.83044285077989</c:v>
                </c:pt>
                <c:pt idx="16">
                  <c:v>431.5829124361801</c:v>
                </c:pt>
                <c:pt idx="17">
                  <c:v>447.71492018508116</c:v>
                </c:pt>
                <c:pt idx="18">
                  <c:v>463.22646609748693</c:v>
                </c:pt>
                <c:pt idx="19">
                  <c:v>478.11755017339738</c:v>
                </c:pt>
                <c:pt idx="20">
                  <c:v>492.3881724128106</c:v>
                </c:pt>
                <c:pt idx="21">
                  <c:v>503.41356950557804</c:v>
                </c:pt>
                <c:pt idx="22">
                  <c:v>514.68584373281965</c:v>
                </c:pt>
                <c:pt idx="23">
                  <c:v>526.21052308767685</c:v>
                </c:pt>
                <c:pt idx="24">
                  <c:v>537.99325934432181</c:v>
                </c:pt>
                <c:pt idx="25">
                  <c:v>550.03983082966033</c:v>
                </c:pt>
                <c:pt idx="26">
                  <c:v>562.35614525699452</c:v>
                </c:pt>
                <c:pt idx="27">
                  <c:v>574.94824262325153</c:v>
                </c:pt>
                <c:pt idx="28">
                  <c:v>587.82229817102746</c:v>
                </c:pt>
                <c:pt idx="29">
                  <c:v>600.98462541694789</c:v>
                </c:pt>
                <c:pt idx="30">
                  <c:v>614.44167924788064</c:v>
                </c:pt>
                <c:pt idx="31">
                  <c:v>628.20005908639996</c:v>
                </c:pt>
                <c:pt idx="32">
                  <c:v>642.2665121272837</c:v>
                </c:pt>
                <c:pt idx="33">
                  <c:v>656.64793664625176</c:v>
                </c:pt>
                <c:pt idx="34">
                  <c:v>671.35138538304568</c:v>
                </c:pt>
                <c:pt idx="35">
                  <c:v>686.38406900002587</c:v>
                </c:pt>
                <c:pt idx="36">
                  <c:v>701.75335961843109</c:v>
                </c:pt>
                <c:pt idx="37">
                  <c:v>717.46679443361188</c:v>
                </c:pt>
                <c:pt idx="38">
                  <c:v>733.12118348195941</c:v>
                </c:pt>
                <c:pt idx="39">
                  <c:v>751.78454697535642</c:v>
                </c:pt>
                <c:pt idx="40">
                  <c:v>762.38331474199458</c:v>
                </c:pt>
                <c:pt idx="41">
                  <c:v>772.83506112830935</c:v>
                </c:pt>
                <c:pt idx="42">
                  <c:v>783.13751583556461</c:v>
                </c:pt>
                <c:pt idx="43">
                  <c:v>793.28851223153617</c:v>
                </c:pt>
                <c:pt idx="44">
                  <c:v>803.28598713387566</c:v>
                </c:pt>
                <c:pt idx="45">
                  <c:v>813.12798053261417</c:v>
                </c:pt>
                <c:pt idx="46">
                  <c:v>822.81263525070824</c:v>
                </c:pt>
                <c:pt idx="47">
                  <c:v>832.3381965403147</c:v>
                </c:pt>
                <c:pt idx="48">
                  <c:v>841.70301161493535</c:v>
                </c:pt>
                <c:pt idx="49">
                  <c:v>850.90552911619955</c:v>
                </c:pt>
                <c:pt idx="50">
                  <c:v>859.94429851523716</c:v>
                </c:pt>
                <c:pt idx="51">
                  <c:v>868.81796944860037</c:v>
                </c:pt>
                <c:pt idx="52">
                  <c:v>877.52529098887544</c:v>
                </c:pt>
                <c:pt idx="53">
                  <c:v>886.06511085079683</c:v>
                </c:pt>
                <c:pt idx="54">
                  <c:v>894.43637453304143</c:v>
                </c:pt>
                <c:pt idx="55">
                  <c:v>902.63812439728736</c:v>
                </c:pt>
                <c:pt idx="56">
                  <c:v>910.66949868495033</c:v>
                </c:pt>
                <c:pt idx="57">
                  <c:v>918.52973047353191</c:v>
                </c:pt>
                <c:pt idx="58">
                  <c:v>926.21814657346272</c:v>
                </c:pt>
                <c:pt idx="59">
                  <c:v>933.73416636739034</c:v>
                </c:pt>
                <c:pt idx="60">
                  <c:v>941.07730059345374</c:v>
                </c:pt>
                <c:pt idx="61">
                  <c:v>948.24715007452664</c:v>
                </c:pt>
                <c:pt idx="62">
                  <c:v>955.24340439503521</c:v>
                </c:pt>
                <c:pt idx="63">
                  <c:v>962.06584052791789</c:v>
                </c:pt>
                <c:pt idx="64">
                  <c:v>968.71432141329797</c:v>
                </c:pt>
                <c:pt idx="65">
                  <c:v>975.18879449147983</c:v>
                </c:pt>
                <c:pt idx="66">
                  <c:v>981.48929019227035</c:v>
                </c:pt>
                <c:pt idx="67">
                  <c:v>987.61592038316155</c:v>
                </c:pt>
                <c:pt idx="68">
                  <c:v>993.56887677841144</c:v>
                </c:pt>
                <c:pt idx="69">
                  <c:v>999.34842931189678</c:v>
                </c:pt>
                <c:pt idx="70">
                  <c:v>1004.9549244756043</c:v>
                </c:pt>
                <c:pt idx="71">
                  <c:v>1010.388783626797</c:v>
                </c:pt>
                <c:pt idx="72">
                  <c:v>1015.6505012658935</c:v>
                </c:pt>
                <c:pt idx="73">
                  <c:v>1020.7406432874652</c:v>
                </c:pt>
                <c:pt idx="74">
                  <c:v>1025.6598452075536</c:v>
                </c:pt>
                <c:pt idx="75">
                  <c:v>1030.4088103685947</c:v>
                </c:pt>
                <c:pt idx="76">
                  <c:v>1034.9883081256608</c:v>
                </c:pt>
                <c:pt idx="77">
                  <c:v>1039.3991720153447</c:v>
                </c:pt>
                <c:pt idx="78">
                  <c:v>1043.6422979105764</c:v>
                </c:pt>
                <c:pt idx="79">
                  <c:v>1047.7186421630638</c:v>
                </c:pt>
                <c:pt idx="80">
                  <c:v>1051.6292197362711</c:v>
                </c:pt>
                <c:pt idx="81">
                  <c:v>1055.3751023308691</c:v>
                </c:pt>
                <c:pt idx="82">
                  <c:v>1058.9574165048525</c:v>
                </c:pt>
                <c:pt idx="83">
                  <c:v>1062.3773417912357</c:v>
                </c:pt>
                <c:pt idx="84">
                  <c:v>1065.6361088143638</c:v>
                </c:pt>
                <c:pt idx="85">
                  <c:v>1068.734997407905</c:v>
                </c:pt>
                <c:pt idx="86">
                  <c:v>1071.6753347365197</c:v>
                </c:pt>
                <c:pt idx="87">
                  <c:v>1074.4584934221643</c:v>
                </c:pt>
                <c:pt idx="88">
                  <c:v>1077.0858896786517</c:v>
                </c:pt>
                <c:pt idx="89">
                  <c:v>1079.5589814548293</c:v>
                </c:pt>
                <c:pt idx="90">
                  <c:v>1081.8792665889086</c:v>
                </c:pt>
                <c:pt idx="91">
                  <c:v>1084.0482809758457</c:v>
                </c:pt>
                <c:pt idx="92">
                  <c:v>1086.0675967487598</c:v>
                </c:pt>
                <c:pt idx="93">
                  <c:v>1087.9388204768522</c:v>
                </c:pt>
                <c:pt idx="94">
                  <c:v>1089.6635913806006</c:v>
                </c:pt>
                <c:pt idx="95">
                  <c:v>1091.243579566016</c:v>
                </c:pt>
                <c:pt idx="96">
                  <c:v>1092.6804842797524</c:v>
                </c:pt>
                <c:pt idx="97">
                  <c:v>1093.9760321853801</c:v>
                </c:pt>
                <c:pt idx="98">
                  <c:v>1095.1319756632993</c:v>
                </c:pt>
                <c:pt idx="99">
                  <c:v>1096.1500911344178</c:v>
                </c:pt>
                <c:pt idx="100">
                  <c:v>1097.0321774092881</c:v>
                </c:pt>
                <c:pt idx="101">
                  <c:v>1097.7800540637629</c:v>
                </c:pt>
                <c:pt idx="102">
                  <c:v>1098.3955598417094</c:v>
                </c:pt>
                <c:pt idx="103">
                  <c:v>1098.8805510859659</c:v>
                </c:pt>
                <c:pt idx="104">
                  <c:v>1099.2369001986744</c:v>
                </c:pt>
                <c:pt idx="105">
                  <c:v>1099.4664941308126</c:v>
                </c:pt>
                <c:pt idx="106">
                  <c:v>1099.5712329029323</c:v>
                </c:pt>
                <c:pt idx="107">
                  <c:v>1099.5530281562751</c:v>
                </c:pt>
                <c:pt idx="108">
                  <c:v>1099.4138017361897</c:v>
                </c:pt>
                <c:pt idx="109">
                  <c:v>1099.1554843073827</c:v>
                </c:pt>
                <c:pt idx="110">
                  <c:v>1098.7800140019426</c:v>
                </c:pt>
                <c:pt idx="111">
                  <c:v>1098.2893351002926</c:v>
                </c:pt>
                <c:pt idx="112">
                  <c:v>1097.685396745371</c:v>
                </c:pt>
                <c:pt idx="113">
                  <c:v>1096.970151690854</c:v>
                </c:pt>
                <c:pt idx="114">
                  <c:v>1096.145555082401</c:v>
                </c:pt>
                <c:pt idx="115">
                  <c:v>1095.213563273601</c:v>
                </c:pt>
                <c:pt idx="116">
                  <c:v>1094.1761326756614</c:v>
                </c:pt>
                <c:pt idx="117">
                  <c:v>1093.035218641046</c:v>
                </c:pt>
                <c:pt idx="118">
                  <c:v>1091.7927743817193</c:v>
                </c:pt>
                <c:pt idx="119">
                  <c:v>1090.4507499209449</c:v>
                </c:pt>
                <c:pt idx="120">
                  <c:v>1089.0110910795511</c:v>
                </c:pt>
                <c:pt idx="121">
                  <c:v>1087.4757384957666</c:v>
                </c:pt>
                <c:pt idx="122">
                  <c:v>1085.8466266790983</c:v>
                </c:pt>
                <c:pt idx="123">
                  <c:v>1084.1256830974851</c:v>
                </c:pt>
                <c:pt idx="124">
                  <c:v>1082.3148272978015</c:v>
                </c:pt>
                <c:pt idx="125">
                  <c:v>1080.4159700595746</c:v>
                </c:pt>
                <c:pt idx="126">
                  <c:v>1078.431012581442</c:v>
                </c:pt>
                <c:pt idx="127">
                  <c:v>1076.3618456995687</c:v>
                </c:pt>
                <c:pt idx="128">
                  <c:v>1074.2103491387415</c:v>
                </c:pt>
                <c:pt idx="129">
                  <c:v>1071.9783907947337</c:v>
                </c:pt>
                <c:pt idx="130">
                  <c:v>1069.667826048189</c:v>
                </c:pt>
                <c:pt idx="131">
                  <c:v>1067.2804971087405</c:v>
                </c:pt>
                <c:pt idx="132">
                  <c:v>1064.8182323905392</c:v>
                </c:pt>
                <c:pt idx="133">
                  <c:v>1062.2828459165298</c:v>
                </c:pt>
              </c:numCache>
            </c:numRef>
          </c:yVal>
          <c:smooth val="1"/>
          <c:extLst>
            <c:ext xmlns:c16="http://schemas.microsoft.com/office/drawing/2014/chart" uri="{C3380CC4-5D6E-409C-BE32-E72D297353CC}">
              <c16:uniqueId val="{00000005-85C7-4A0D-843E-A7E336B61472}"/>
            </c:ext>
          </c:extLst>
        </c:ser>
        <c:ser>
          <c:idx val="3"/>
          <c:order val="2"/>
          <c:tx>
            <c:strRef>
              <c:f>'E-Gilts'!$I$1</c:f>
              <c:strCache>
                <c:ptCount val="1"/>
                <c:pt idx="0">
                  <c:v>Gilts</c:v>
                </c:pt>
              </c:strCache>
            </c:strRef>
          </c:tx>
          <c:spPr>
            <a:ln w="28575" cap="rnd">
              <a:solidFill>
                <a:schemeClr val="accent4"/>
              </a:solidFill>
              <a:round/>
            </a:ln>
            <a:effectLst/>
          </c:spPr>
          <c:marker>
            <c:symbol val="none"/>
          </c:marker>
          <c:xVal>
            <c:numRef>
              <c:f>[0]!GiltsBW2</c:f>
              <c:numCache>
                <c:formatCode>0.00</c:formatCode>
                <c:ptCount val="135"/>
                <c:pt idx="0">
                  <c:v>6.0580105212632942</c:v>
                </c:pt>
                <c:pt idx="1">
                  <c:v>6.1475270980272505</c:v>
                </c:pt>
                <c:pt idx="2">
                  <c:v>6.2632284424575069</c:v>
                </c:pt>
                <c:pt idx="3">
                  <c:v>6.404491107704863</c:v>
                </c:pt>
                <c:pt idx="4">
                  <c:v>6.5706916469201255</c:v>
                </c:pt>
                <c:pt idx="5">
                  <c:v>6.7612066132540933</c:v>
                </c:pt>
                <c:pt idx="6">
                  <c:v>6.9754125598575705</c:v>
                </c:pt>
                <c:pt idx="7">
                  <c:v>7.2126860398813593</c:v>
                </c:pt>
                <c:pt idx="8">
                  <c:v>7.4724036064762611</c:v>
                </c:pt>
                <c:pt idx="9">
                  <c:v>7.7539418127930801</c:v>
                </c:pt>
                <c:pt idx="10">
                  <c:v>8.0566772119826169</c:v>
                </c:pt>
                <c:pt idx="11">
                  <c:v>8.3799863571956763</c:v>
                </c:pt>
                <c:pt idx="12">
                  <c:v>8.7232458015830598</c:v>
                </c:pt>
                <c:pt idx="13">
                  <c:v>9.0858320982955671</c:v>
                </c:pt>
                <c:pt idx="14">
                  <c:v>9.467121800484005</c:v>
                </c:pt>
                <c:pt idx="15">
                  <c:v>9.8664914612991694</c:v>
                </c:pt>
                <c:pt idx="16">
                  <c:v>10.283317633891869</c:v>
                </c:pt>
                <c:pt idx="17">
                  <c:v>10.716976871412903</c:v>
                </c:pt>
                <c:pt idx="18">
                  <c:v>11.166845727013076</c:v>
                </c:pt>
                <c:pt idx="19">
                  <c:v>11.632300753843188</c:v>
                </c:pt>
                <c:pt idx="20">
                  <c:v>12.112718505054042</c:v>
                </c:pt>
                <c:pt idx="21">
                  <c:v>12.607475533796443</c:v>
                </c:pt>
                <c:pt idx="22">
                  <c:v>13.113311002298257</c:v>
                </c:pt>
                <c:pt idx="23">
                  <c:v>13.630472975408233</c:v>
                </c:pt>
                <c:pt idx="24">
                  <c:v>14.159215072563184</c:v>
                </c:pt>
                <c:pt idx="25">
                  <c:v>14.69979659216451</c:v>
                </c:pt>
                <c:pt idx="26">
                  <c:v>15.252482638739773</c:v>
                </c:pt>
                <c:pt idx="27">
                  <c:v>15.817544252951569</c:v>
                </c:pt>
                <c:pt idx="28">
                  <c:v>16.395258544517571</c:v>
                </c:pt>
                <c:pt idx="29">
                  <c:v>16.985908828106837</c:v>
                </c:pt>
                <c:pt idx="30">
                  <c:v>17.589784762279088</c:v>
                </c:pt>
                <c:pt idx="31">
                  <c:v>18.207182491535068</c:v>
                </c:pt>
                <c:pt idx="32">
                  <c:v>18.838404791547614</c:v>
                </c:pt>
                <c:pt idx="33">
                  <c:v>19.483761217644759</c:v>
                </c:pt>
                <c:pt idx="34">
                  <c:v>20.14356825661757</c:v>
                </c:pt>
                <c:pt idx="35">
                  <c:v>20.818149481927207</c:v>
                </c:pt>
                <c:pt idx="36">
                  <c:v>21.507835712387397</c:v>
                </c:pt>
                <c:pt idx="37">
                  <c:v>22.212965174399994</c:v>
                </c:pt>
                <c:pt idx="38">
                  <c:v>22.93388366782332</c:v>
                </c:pt>
                <c:pt idx="39">
                  <c:v>23.670531862824131</c:v>
                </c:pt>
                <c:pt idx="40">
                  <c:v>24.402792160777569</c:v>
                </c:pt>
                <c:pt idx="41">
                  <c:v>25.14466831357106</c:v>
                </c:pt>
                <c:pt idx="42">
                  <c:v>25.896018768467133</c:v>
                </c:pt>
                <c:pt idx="43">
                  <c:v>26.656700581284369</c:v>
                </c:pt>
                <c:pt idx="44">
                  <c:v>27.426569496423074</c:v>
                </c:pt>
                <c:pt idx="45">
                  <c:v>28.205480026365038</c:v>
                </c:pt>
                <c:pt idx="46">
                  <c:v>28.993285530607938</c:v>
                </c:pt>
                <c:pt idx="47">
                  <c:v>29.789838293995057</c:v>
                </c:pt>
                <c:pt idx="48">
                  <c:v>30.594989604399938</c:v>
                </c:pt>
                <c:pt idx="49">
                  <c:v>31.40858982972696</c:v>
                </c:pt>
                <c:pt idx="50">
                  <c:v>32.230488494187775</c:v>
                </c:pt>
                <c:pt idx="51">
                  <c:v>33.06053435381525</c:v>
                </c:pt>
                <c:pt idx="52">
                  <c:v>33.898575471175953</c:v>
                </c:pt>
                <c:pt idx="53">
                  <c:v>34.744459289243714</c:v>
                </c:pt>
                <c:pt idx="54">
                  <c:v>35.598032704397355</c:v>
                </c:pt>
                <c:pt idx="55">
                  <c:v>36.459142138506365</c:v>
                </c:pt>
                <c:pt idx="56">
                  <c:v>37.327633610069732</c:v>
                </c:pt>
                <c:pt idx="57">
                  <c:v>38.203352804373694</c:v>
                </c:pt>
                <c:pt idx="58">
                  <c:v>39.086145142636056</c:v>
                </c:pt>
                <c:pt idx="59">
                  <c:v>39.975855850105006</c:v>
                </c:pt>
                <c:pt idx="60">
                  <c:v>40.872330023082661</c:v>
                </c:pt>
                <c:pt idx="61">
                  <c:v>41.775412694843993</c:v>
                </c:pt>
                <c:pt idx="62">
                  <c:v>42.684948900423898</c:v>
                </c:pt>
                <c:pt idx="63">
                  <c:v>43.600783740246122</c:v>
                </c:pt>
                <c:pt idx="64">
                  <c:v>44.522762442569473</c:v>
                </c:pt>
                <c:pt idx="65">
                  <c:v>45.450730424727986</c:v>
                </c:pt>
                <c:pt idx="66">
                  <c:v>46.38453335314346</c:v>
                </c:pt>
                <c:pt idx="67">
                  <c:v>47.32401720209009</c:v>
                </c:pt>
                <c:pt idx="68">
                  <c:v>48.269028311192855</c:v>
                </c:pt>
                <c:pt idx="69">
                  <c:v>49.219413441641819</c:v>
                </c:pt>
                <c:pt idx="70">
                  <c:v>50.17501983110769</c:v>
                </c:pt>
                <c:pt idx="71">
                  <c:v>51.135695247343797</c:v>
                </c:pt>
                <c:pt idx="72">
                  <c:v>52.101288040462279</c:v>
                </c:pt>
                <c:pt idx="73">
                  <c:v>53.071647193873702</c:v>
                </c:pt>
                <c:pt idx="74">
                  <c:v>54.046622373879799</c:v>
                </c:pt>
                <c:pt idx="75">
                  <c:v>55.026063977912465</c:v>
                </c:pt>
                <c:pt idx="76">
                  <c:v>56.009823181411136</c:v>
                </c:pt>
                <c:pt idx="77">
                  <c:v>56.997751983334716</c:v>
                </c:pt>
                <c:pt idx="78">
                  <c:v>57.989703250303229</c:v>
                </c:pt>
                <c:pt idx="79">
                  <c:v>58.985530759367705</c:v>
                </c:pt>
                <c:pt idx="80">
                  <c:v>59.985089239407003</c:v>
                </c:pt>
                <c:pt idx="81">
                  <c:v>60.988234411151886</c:v>
                </c:pt>
                <c:pt idx="82">
                  <c:v>61.994823025838571</c:v>
                </c:pt>
                <c:pt idx="83">
                  <c:v>63.00471290249385</c:v>
                </c:pt>
                <c:pt idx="84">
                  <c:v>64.017762963857209</c:v>
                </c:pt>
                <c:pt idx="85">
                  <c:v>65.033833270944115</c:v>
                </c:pt>
                <c:pt idx="86">
                  <c:v>66.052785056257775</c:v>
                </c:pt>
                <c:pt idx="87">
                  <c:v>67.074480755657333</c:v>
                </c:pt>
                <c:pt idx="88">
                  <c:v>68.098784038890287</c:v>
                </c:pt>
                <c:pt idx="89">
                  <c:v>69.125559838800044</c:v>
                </c:pt>
                <c:pt idx="90">
                  <c:v>70.154674379218918</c:v>
                </c:pt>
                <c:pt idx="91">
                  <c:v>71.185995201558171</c:v>
                </c:pt>
                <c:pt idx="92">
                  <c:v>72.219391190108453</c:v>
                </c:pt>
                <c:pt idx="93">
                  <c:v>73.254732596063974</c:v>
                </c:pt>
                <c:pt idx="94">
                  <c:v>74.2918910602842</c:v>
                </c:pt>
                <c:pt idx="95">
                  <c:v>75.330739634809746</c:v>
                </c:pt>
                <c:pt idx="96">
                  <c:v>76.371152803146828</c:v>
                </c:pt>
                <c:pt idx="97">
                  <c:v>77.413006499338422</c:v>
                </c:pt>
                <c:pt idx="98">
                  <c:v>78.45617812583842</c:v>
                </c:pt>
                <c:pt idx="99">
                  <c:v>79.500546570207504</c:v>
                </c:pt>
                <c:pt idx="100">
                  <c:v>80.545992220648898</c:v>
                </c:pt>
                <c:pt idx="101">
                  <c:v>81.592396980403407</c:v>
                </c:pt>
                <c:pt idx="102">
                  <c:v>82.639644281023266</c:v>
                </c:pt>
                <c:pt idx="103">
                  <c:v>83.687619094545013</c:v>
                </c:pt>
                <c:pt idx="104">
                  <c:v>84.736207944581707</c:v>
                </c:pt>
                <c:pt idx="105">
                  <c:v>85.785298916355799</c:v>
                </c:pt>
                <c:pt idx="106">
                  <c:v>86.834781665693612</c:v>
                </c:pt>
                <c:pt idx="107">
                  <c:v>87.884547427003326</c:v>
                </c:pt>
                <c:pt idx="108">
                  <c:v>88.934489020257985</c:v>
                </c:pt>
                <c:pt idx="109">
                  <c:v>89.984500857006054</c:v>
                </c:pt>
                <c:pt idx="110">
                  <c:v>91.0344789454319</c:v>
                </c:pt>
                <c:pt idx="111">
                  <c:v>92.084320894488059</c:v>
                </c:pt>
                <c:pt idx="112">
                  <c:v>93.133925917123079</c:v>
                </c:pt>
                <c:pt idx="113">
                  <c:v>94.183194832626526</c:v>
                </c:pt>
                <c:pt idx="114">
                  <c:v>95.23203006811525</c:v>
                </c:pt>
                <c:pt idx="115">
                  <c:v>96.280335659182683</c:v>
                </c:pt>
                <c:pt idx="116">
                  <c:v>97.32801724973497</c:v>
                </c:pt>
                <c:pt idx="117">
                  <c:v>98.374982091036756</c:v>
                </c:pt>
                <c:pt idx="118">
                  <c:v>99.421139039989129</c:v>
                </c:pt>
                <c:pt idx="119">
                  <c:v>100.46639855666318</c:v>
                </c:pt>
                <c:pt idx="120">
                  <c:v>101.51067270111163</c:v>
                </c:pt>
                <c:pt idx="121">
                  <c:v>102.55387512948163</c:v>
                </c:pt>
                <c:pt idx="122">
                  <c:v>103.59592108945067</c:v>
                </c:pt>
                <c:pt idx="123">
                  <c:v>104.63672741500888</c:v>
                </c:pt>
                <c:pt idx="124">
                  <c:v>105.67621252060964</c:v>
                </c:pt>
                <c:pt idx="125">
                  <c:v>106.71429639471022</c:v>
                </c:pt>
                <c:pt idx="126">
                  <c:v>107.75090059272532</c:v>
                </c:pt>
                <c:pt idx="127">
                  <c:v>108.78594822941444</c:v>
                </c:pt>
                <c:pt idx="128">
                  <c:v>109.81936397072496</c:v>
                </c:pt>
                <c:pt idx="129">
                  <c:v>110.85107402511181</c:v>
                </c:pt>
                <c:pt idx="130">
                  <c:v>111.8810061343554</c:v>
                </c:pt>
                <c:pt idx="131">
                  <c:v>112.90908956389777</c:v>
                </c:pt>
                <c:pt idx="132">
                  <c:v>113.93525509271778</c:v>
                </c:pt>
                <c:pt idx="133">
                  <c:v>114.95943500276545</c:v>
                </c:pt>
                <c:pt idx="134">
                  <c:v>115.9815630679752</c:v>
                </c:pt>
              </c:numCache>
            </c:numRef>
          </c:xVal>
          <c:yVal>
            <c:numRef>
              <c:f>[0]!GiltsADG2</c:f>
              <c:numCache>
                <c:formatCode>0</c:formatCode>
                <c:ptCount val="134"/>
                <c:pt idx="0">
                  <c:v>89.516576763955968</c:v>
                </c:pt>
                <c:pt idx="1">
                  <c:v>115.70134443025678</c:v>
                </c:pt>
                <c:pt idx="2">
                  <c:v>141.26266524735641</c:v>
                </c:pt>
                <c:pt idx="3">
                  <c:v>166.20053921526264</c:v>
                </c:pt>
                <c:pt idx="4">
                  <c:v>190.51496633396769</c:v>
                </c:pt>
                <c:pt idx="5">
                  <c:v>214.2059466034774</c:v>
                </c:pt>
                <c:pt idx="6">
                  <c:v>237.27348002378884</c:v>
                </c:pt>
                <c:pt idx="7">
                  <c:v>259.717566594902</c:v>
                </c:pt>
                <c:pt idx="8">
                  <c:v>281.5382063168189</c:v>
                </c:pt>
                <c:pt idx="9">
                  <c:v>302.73539918953747</c:v>
                </c:pt>
                <c:pt idx="10">
                  <c:v>323.3091452130588</c:v>
                </c:pt>
                <c:pt idx="11">
                  <c:v>343.25944438738281</c:v>
                </c:pt>
                <c:pt idx="12">
                  <c:v>362.58629671250662</c:v>
                </c:pt>
                <c:pt idx="13">
                  <c:v>381.28970218843705</c:v>
                </c:pt>
                <c:pt idx="14">
                  <c:v>399.36966081516425</c:v>
                </c:pt>
                <c:pt idx="15">
                  <c:v>416.82617259270012</c:v>
                </c:pt>
                <c:pt idx="16">
                  <c:v>433.65923752103475</c:v>
                </c:pt>
                <c:pt idx="17">
                  <c:v>449.86885560017214</c:v>
                </c:pt>
                <c:pt idx="18">
                  <c:v>465.45502683011216</c:v>
                </c:pt>
                <c:pt idx="19">
                  <c:v>480.41775121085499</c:v>
                </c:pt>
                <c:pt idx="20">
                  <c:v>494.75702874240045</c:v>
                </c:pt>
                <c:pt idx="21">
                  <c:v>505.83546850181364</c:v>
                </c:pt>
                <c:pt idx="22">
                  <c:v>517.16197310997711</c:v>
                </c:pt>
                <c:pt idx="23">
                  <c:v>528.74209715494931</c:v>
                </c:pt>
                <c:pt idx="24">
                  <c:v>540.58151960132625</c:v>
                </c:pt>
                <c:pt idx="25">
                  <c:v>552.68604657526237</c:v>
                </c:pt>
                <c:pt idx="26">
                  <c:v>565.06161421179581</c:v>
                </c:pt>
                <c:pt idx="27">
                  <c:v>577.71429156600016</c:v>
                </c:pt>
                <c:pt idx="28">
                  <c:v>590.65028358926713</c:v>
                </c:pt>
                <c:pt idx="29">
                  <c:v>603.87593417225048</c:v>
                </c:pt>
                <c:pt idx="30">
                  <c:v>617.39772925597924</c:v>
                </c:pt>
                <c:pt idx="31">
                  <c:v>631.22230001254695</c:v>
                </c:pt>
                <c:pt idx="32">
                  <c:v>645.35642609714625</c:v>
                </c:pt>
                <c:pt idx="33">
                  <c:v>659.80703897281091</c:v>
                </c:pt>
                <c:pt idx="34">
                  <c:v>674.58122530963681</c:v>
                </c:pt>
                <c:pt idx="35">
                  <c:v>689.68623046019115</c:v>
                </c:pt>
                <c:pt idx="36">
                  <c:v>705.12946201259535</c:v>
                </c:pt>
                <c:pt idx="37">
                  <c:v>720.91849342332796</c:v>
                </c:pt>
                <c:pt idx="38">
                  <c:v>736.64819500081035</c:v>
                </c:pt>
                <c:pt idx="39">
                  <c:v>732.26029795343754</c:v>
                </c:pt>
                <c:pt idx="40">
                  <c:v>741.87615279349177</c:v>
                </c:pt>
                <c:pt idx="41">
                  <c:v>751.35045489607387</c:v>
                </c:pt>
                <c:pt idx="42">
                  <c:v>760.68181281723662</c:v>
                </c:pt>
                <c:pt idx="43">
                  <c:v>769.86891513870603</c:v>
                </c:pt>
                <c:pt idx="44">
                  <c:v>778.910529941964</c:v>
                </c:pt>
                <c:pt idx="45">
                  <c:v>787.80550424290038</c:v>
                </c:pt>
                <c:pt idx="46">
                  <c:v>796.5527633871194</c:v>
                </c:pt>
                <c:pt idx="47">
                  <c:v>805.15131040488041</c:v>
                </c:pt>
                <c:pt idx="48">
                  <c:v>813.60022532702158</c:v>
                </c:pt>
                <c:pt idx="49">
                  <c:v>821.89866446081169</c:v>
                </c:pt>
                <c:pt idx="50">
                  <c:v>830.04585962747421</c:v>
                </c:pt>
                <c:pt idx="51">
                  <c:v>838.04111736070479</c:v>
                </c:pt>
                <c:pt idx="52">
                  <c:v>845.88381806776204</c:v>
                </c:pt>
                <c:pt idx="53">
                  <c:v>853.57341515364237</c:v>
                </c:pt>
                <c:pt idx="54">
                  <c:v>861.10943410901109</c:v>
                </c:pt>
                <c:pt idx="55">
                  <c:v>868.49147156336937</c:v>
                </c:pt>
                <c:pt idx="56">
                  <c:v>875.71919430396053</c:v>
                </c:pt>
                <c:pt idx="57">
                  <c:v>882.79233826236464</c:v>
                </c:pt>
                <c:pt idx="58">
                  <c:v>889.7107074689535</c:v>
                </c:pt>
                <c:pt idx="59">
                  <c:v>896.47417297765821</c:v>
                </c:pt>
                <c:pt idx="60">
                  <c:v>903.08267176133359</c:v>
                </c:pt>
                <c:pt idx="61">
                  <c:v>909.53620557990212</c:v>
                </c:pt>
                <c:pt idx="62">
                  <c:v>915.83483982222606</c:v>
                </c:pt>
                <c:pt idx="63">
                  <c:v>921.97870232335356</c:v>
                </c:pt>
                <c:pt idx="64">
                  <c:v>927.96798215851663</c:v>
                </c:pt>
                <c:pt idx="65">
                  <c:v>933.80292841547146</c:v>
                </c:pt>
                <c:pt idx="66">
                  <c:v>939.48384894662786</c:v>
                </c:pt>
                <c:pt idx="67">
                  <c:v>945.0111091027668</c:v>
                </c:pt>
                <c:pt idx="68">
                  <c:v>950.38513044896581</c:v>
                </c:pt>
                <c:pt idx="69">
                  <c:v>955.60638946587244</c:v>
                </c:pt>
                <c:pt idx="70">
                  <c:v>960.67541623610794</c:v>
                </c:pt>
                <c:pt idx="71">
                  <c:v>965.59279311848479</c:v>
                </c:pt>
                <c:pt idx="72">
                  <c:v>970.35915341142197</c:v>
                </c:pt>
                <c:pt idx="73">
                  <c:v>974.97518000609898</c:v>
                </c:pt>
                <c:pt idx="74">
                  <c:v>979.44160403266255</c:v>
                </c:pt>
                <c:pt idx="75">
                  <c:v>983.75920349867079</c:v>
                </c:pt>
                <c:pt idx="76">
                  <c:v>987.92880192358052</c:v>
                </c:pt>
                <c:pt idx="77">
                  <c:v>991.95126696851401</c:v>
                </c:pt>
                <c:pt idx="78">
                  <c:v>995.82750906447973</c:v>
                </c:pt>
                <c:pt idx="79">
                  <c:v>999.55848003929498</c:v>
                </c:pt>
                <c:pt idx="80">
                  <c:v>1003.1451717448832</c:v>
                </c:pt>
                <c:pt idx="81">
                  <c:v>1006.588614686687</c:v>
                </c:pt>
                <c:pt idx="82">
                  <c:v>1009.8898766552812</c:v>
                </c:pt>
                <c:pt idx="83">
                  <c:v>1013.0500613633608</c:v>
                </c:pt>
                <c:pt idx="84">
                  <c:v>1016.0703070869024</c:v>
                </c:pt>
                <c:pt idx="85">
                  <c:v>1018.9517853136582</c:v>
                </c:pt>
                <c:pt idx="86">
                  <c:v>1021.6956993995605</c:v>
                </c:pt>
                <c:pt idx="87">
                  <c:v>1024.30328323296</c:v>
                </c:pt>
                <c:pt idx="88">
                  <c:v>1026.775799909751</c:v>
                </c:pt>
                <c:pt idx="89">
                  <c:v>1029.1145404188671</c:v>
                </c:pt>
                <c:pt idx="90">
                  <c:v>1031.3208223392469</c:v>
                </c:pt>
                <c:pt idx="91">
                  <c:v>1033.3959885502834</c:v>
                </c:pt>
                <c:pt idx="92">
                  <c:v>1035.3414059555155</c:v>
                </c:pt>
                <c:pt idx="93">
                  <c:v>1037.1584642202283</c:v>
                </c:pt>
                <c:pt idx="94">
                  <c:v>1038.8485745255416</c:v>
                </c:pt>
                <c:pt idx="95">
                  <c:v>1040.4131683370772</c:v>
                </c:pt>
                <c:pt idx="96">
                  <c:v>1041.8536961915929</c:v>
                </c:pt>
                <c:pt idx="97">
                  <c:v>1043.1716265000039</c:v>
                </c:pt>
                <c:pt idx="98">
                  <c:v>1044.3684443690786</c:v>
                </c:pt>
                <c:pt idx="99">
                  <c:v>1045.445650441399</c:v>
                </c:pt>
                <c:pt idx="100">
                  <c:v>1046.404759754513</c:v>
                </c:pt>
                <c:pt idx="101">
                  <c:v>1047.2473006198572</c:v>
                </c:pt>
                <c:pt idx="102">
                  <c:v>1047.974813521746</c:v>
                </c:pt>
                <c:pt idx="103">
                  <c:v>1048.5888500366971</c:v>
                </c:pt>
                <c:pt idx="104">
                  <c:v>1049.0909717740919</c:v>
                </c:pt>
                <c:pt idx="105">
                  <c:v>1049.4827493378141</c:v>
                </c:pt>
                <c:pt idx="106">
                  <c:v>1049.7657613097092</c:v>
                </c:pt>
                <c:pt idx="107">
                  <c:v>1049.9415932546642</c:v>
                </c:pt>
                <c:pt idx="108">
                  <c:v>1050.0118367480736</c:v>
                </c:pt>
                <c:pt idx="109">
                  <c:v>1049.9780884258464</c:v>
                </c:pt>
                <c:pt idx="110">
                  <c:v>1049.8419490561612</c:v>
                </c:pt>
                <c:pt idx="111">
                  <c:v>1049.6050226350139</c:v>
                </c:pt>
                <c:pt idx="112">
                  <c:v>1049.2689155034493</c:v>
                </c:pt>
                <c:pt idx="113">
                  <c:v>1048.8352354887288</c:v>
                </c:pt>
                <c:pt idx="114">
                  <c:v>1048.3055910674311</c:v>
                </c:pt>
                <c:pt idx="115">
                  <c:v>1047.6815905522858</c:v>
                </c:pt>
                <c:pt idx="116">
                  <c:v>1046.964841301786</c:v>
                </c:pt>
                <c:pt idx="117">
                  <c:v>1046.1569489523747</c:v>
                </c:pt>
                <c:pt idx="118">
                  <c:v>1045.2595166740514</c:v>
                </c:pt>
                <c:pt idx="119">
                  <c:v>1044.2741444484448</c:v>
                </c:pt>
                <c:pt idx="120">
                  <c:v>1043.2024283699911</c:v>
                </c:pt>
                <c:pt idx="121">
                  <c:v>1042.0459599690448</c:v>
                </c:pt>
                <c:pt idx="122">
                  <c:v>1040.8063255582072</c:v>
                </c:pt>
                <c:pt idx="123">
                  <c:v>1039.4851056007583</c:v>
                </c:pt>
                <c:pt idx="124">
                  <c:v>1038.0838741005823</c:v>
                </c:pt>
                <c:pt idx="125">
                  <c:v>1036.6041980150915</c:v>
                </c:pt>
                <c:pt idx="126">
                  <c:v>1035.0476366891253</c:v>
                </c:pt>
                <c:pt idx="127">
                  <c:v>1033.415741310517</c:v>
                </c:pt>
                <c:pt idx="128">
                  <c:v>1031.7100543868532</c:v>
                </c:pt>
                <c:pt idx="129">
                  <c:v>1029.93210924359</c:v>
                </c:pt>
                <c:pt idx="130">
                  <c:v>1028.083429542359</c:v>
                </c:pt>
                <c:pt idx="131">
                  <c:v>1026.1655288200163</c:v>
                </c:pt>
                <c:pt idx="132">
                  <c:v>1024.1799100476649</c:v>
                </c:pt>
                <c:pt idx="133">
                  <c:v>1022.1280652097618</c:v>
                </c:pt>
              </c:numCache>
            </c:numRef>
          </c:yVal>
          <c:smooth val="1"/>
          <c:extLst>
            <c:ext xmlns:c16="http://schemas.microsoft.com/office/drawing/2014/chart" uri="{C3380CC4-5D6E-409C-BE32-E72D297353CC}">
              <c16:uniqueId val="{00000007-85C7-4A0D-843E-A7E336B61472}"/>
            </c:ext>
          </c:extLst>
        </c:ser>
        <c:dLbls>
          <c:showLegendKey val="0"/>
          <c:showVal val="0"/>
          <c:showCatName val="0"/>
          <c:showSerName val="0"/>
          <c:showPercent val="0"/>
          <c:showBubbleSize val="0"/>
        </c:dLbls>
        <c:axId val="323398704"/>
        <c:axId val="323399032"/>
      </c:scatterChart>
      <c:valAx>
        <c:axId val="323398704"/>
        <c:scaling>
          <c:orientation val="minMax"/>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Body weight, kg</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9032"/>
        <c:crosses val="autoZero"/>
        <c:crossBetween val="midCat"/>
      </c:valAx>
      <c:valAx>
        <c:axId val="323399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g/day</a:t>
                </a:r>
              </a:p>
            </c:rich>
          </c:tx>
          <c:layout>
            <c:manualLayout>
              <c:xMode val="edge"/>
              <c:yMode val="edge"/>
              <c:x val="2.3536334215945864E-3"/>
              <c:y val="0.43792768917251079"/>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8704"/>
        <c:crosses val="autoZero"/>
        <c:crossBetween val="midCat"/>
      </c:valAx>
      <c:spPr>
        <a:noFill/>
        <a:ln>
          <a:noFill/>
        </a:ln>
        <a:effectLst/>
      </c:spPr>
    </c:plotArea>
    <c:legend>
      <c:legendPos val="t"/>
      <c:layout>
        <c:manualLayout>
          <c:xMode val="edge"/>
          <c:yMode val="edge"/>
          <c:x val="0.30100566525440559"/>
          <c:y val="6.1305434670611565E-2"/>
          <c:w val="0.39798875537733425"/>
          <c:h val="4.6413479906749204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r>
              <a:rPr lang="en-US" b="1"/>
              <a:t>Feed efficiency</a:t>
            </a:r>
          </a:p>
        </c:rich>
      </c:tx>
      <c:overlay val="0"/>
      <c:spPr>
        <a:noFill/>
        <a:ln>
          <a:noFill/>
        </a:ln>
        <a:effectLst/>
      </c:spPr>
      <c:txPr>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'E-Barrows'!$I$1</c:f>
              <c:strCache>
                <c:ptCount val="1"/>
                <c:pt idx="0">
                  <c:v>Barrows</c:v>
                </c:pt>
              </c:strCache>
            </c:strRef>
          </c:tx>
          <c:spPr>
            <a:ln w="28575" cap="rnd">
              <a:solidFill>
                <a:schemeClr val="accent1"/>
              </a:solidFill>
              <a:round/>
            </a:ln>
            <a:effectLst/>
          </c:spPr>
          <c:marker>
            <c:symbol val="none"/>
          </c:marker>
          <c:xVal>
            <c:numRef>
              <c:f>[0]!BarrowsBW2</c:f>
              <c:numCache>
                <c:formatCode>0.00</c:formatCode>
                <c:ptCount val="135"/>
                <c:pt idx="0">
                  <c:v>5.9425449780322959</c:v>
                </c:pt>
                <c:pt idx="1">
                  <c:v>6.0312043586488446</c:v>
                </c:pt>
                <c:pt idx="2">
                  <c:v>6.1457977658647787</c:v>
                </c:pt>
                <c:pt idx="3">
                  <c:v>6.2857077228563014</c:v>
                </c:pt>
                <c:pt idx="4">
                  <c:v>6.4503167527996208</c:v>
                </c:pt>
                <c:pt idx="5">
                  <c:v>6.6390073788709403</c:v>
                </c:pt>
                <c:pt idx="6">
                  <c:v>6.8511621242464651</c:v>
                </c:pt>
                <c:pt idx="7">
                  <c:v>7.0861635121023996</c:v>
                </c:pt>
                <c:pt idx="8">
                  <c:v>7.3433940656149517</c:v>
                </c:pt>
                <c:pt idx="9">
                  <c:v>7.622236307960323</c:v>
                </c:pt>
                <c:pt idx="10">
                  <c:v>7.9220727623147207</c:v>
                </c:pt>
                <c:pt idx="11">
                  <c:v>8.2422859518543508</c:v>
                </c:pt>
                <c:pt idx="12">
                  <c:v>8.5822583997554158</c:v>
                </c:pt>
                <c:pt idx="13">
                  <c:v>8.9413726291941238</c:v>
                </c:pt>
                <c:pt idx="14">
                  <c:v>9.3190111633466763</c:v>
                </c:pt>
                <c:pt idx="15">
                  <c:v>9.7145565253892805</c:v>
                </c:pt>
                <c:pt idx="16">
                  <c:v>10.127391238498141</c:v>
                </c:pt>
                <c:pt idx="17">
                  <c:v>10.556897825849465</c:v>
                </c:pt>
                <c:pt idx="18">
                  <c:v>11.002458810619455</c:v>
                </c:pt>
                <c:pt idx="19">
                  <c:v>11.463456715984316</c:v>
                </c:pt>
                <c:pt idx="20">
                  <c:v>11.939274065120255</c:v>
                </c:pt>
                <c:pt idx="21">
                  <c:v>12.429293381203475</c:v>
                </c:pt>
                <c:pt idx="22">
                  <c:v>12.93028505171282</c:v>
                </c:pt>
                <c:pt idx="23">
                  <c:v>13.44249476606848</c:v>
                </c:pt>
                <c:pt idx="24">
                  <c:v>13.966173715088882</c:v>
                </c:pt>
                <c:pt idx="25">
                  <c:v>14.501578714176203</c:v>
                </c:pt>
                <c:pt idx="26">
                  <c:v>15.048972329260261</c:v>
                </c:pt>
                <c:pt idx="27">
                  <c:v>15.60862300556245</c:v>
                </c:pt>
                <c:pt idx="28">
                  <c:v>16.180805199242954</c:v>
                </c:pt>
                <c:pt idx="29">
                  <c:v>16.765799511995745</c:v>
                </c:pt>
                <c:pt idx="30">
                  <c:v>17.363892828657391</c:v>
                </c:pt>
                <c:pt idx="31">
                  <c:v>17.975378457897168</c:v>
                </c:pt>
                <c:pt idx="32">
                  <c:v>18.600556276057425</c:v>
                </c:pt>
                <c:pt idx="33">
                  <c:v>19.239732874214841</c:v>
                </c:pt>
                <c:pt idx="34">
                  <c:v>19.89322170853454</c:v>
                </c:pt>
                <c:pt idx="35">
                  <c:v>20.561343253990987</c:v>
                </c:pt>
                <c:pt idx="36">
                  <c:v>21.244425161530856</c:v>
                </c:pt>
                <c:pt idx="37">
                  <c:v>21.942802418755118</c:v>
                </c:pt>
                <c:pt idx="38">
                  <c:v>22.65681751419902</c:v>
                </c:pt>
                <c:pt idx="39">
                  <c:v>23.386411686162123</c:v>
                </c:pt>
                <c:pt idx="40">
                  <c:v>24.157720482159402</c:v>
                </c:pt>
                <c:pt idx="41">
                  <c:v>24.940610958849899</c:v>
                </c:pt>
                <c:pt idx="42">
                  <c:v>25.734930626210435</c:v>
                </c:pt>
                <c:pt idx="43">
                  <c:v>26.540523845064332</c:v>
                </c:pt>
                <c:pt idx="44">
                  <c:v>27.357231954388702</c:v>
                </c:pt>
                <c:pt idx="45">
                  <c:v>28.184893398714486</c:v>
                </c:pt>
                <c:pt idx="46">
                  <c:v>29.023343855536812</c:v>
                </c:pt>
                <c:pt idx="47">
                  <c:v>29.872416362651112</c:v>
                </c:pt>
                <c:pt idx="48">
                  <c:v>30.731941445326861</c:v>
                </c:pt>
                <c:pt idx="49">
                  <c:v>31.60174724322971</c:v>
                </c:pt>
                <c:pt idx="50">
                  <c:v>32.481659637001293</c:v>
                </c:pt>
                <c:pt idx="51">
                  <c:v>33.371502374404294</c:v>
                </c:pt>
                <c:pt idx="52">
                  <c:v>34.27109719594079</c:v>
                </c:pt>
                <c:pt idx="53">
                  <c:v>35.180263959850777</c:v>
                </c:pt>
                <c:pt idx="54">
                  <c:v>36.098820766398731</c:v>
                </c:pt>
                <c:pt idx="55">
                  <c:v>37.0265840813558</c:v>
                </c:pt>
                <c:pt idx="56">
                  <c:v>37.963368858586996</c:v>
                </c:pt>
                <c:pt idx="57">
                  <c:v>38.908988661652934</c:v>
                </c:pt>
                <c:pt idx="58">
                  <c:v>39.863255784337632</c:v>
                </c:pt>
                <c:pt idx="59">
                  <c:v>40.825981370015612</c:v>
                </c:pt>
                <c:pt idx="60">
                  <c:v>41.796975529772723</c:v>
                </c:pt>
                <c:pt idx="61">
                  <c:v>42.77604745919831</c:v>
                </c:pt>
                <c:pt idx="62">
                  <c:v>43.763005553767456</c:v>
                </c:pt>
                <c:pt idx="63">
                  <c:v>44.7576575227353</c:v>
                </c:pt>
                <c:pt idx="64">
                  <c:v>45.759810501467783</c:v>
                </c:pt>
                <c:pt idx="65">
                  <c:v>46.769271162135865</c:v>
                </c:pt>
                <c:pt idx="66">
                  <c:v>47.785845822703358</c:v>
                </c:pt>
                <c:pt idx="67">
                  <c:v>48.809340554141265</c:v>
                </c:pt>
                <c:pt idx="68">
                  <c:v>49.839561285804827</c:v>
                </c:pt>
                <c:pt idx="69">
                  <c:v>50.876313908912685</c:v>
                </c:pt>
                <c:pt idx="70">
                  <c:v>51.919404378070588</c:v>
                </c:pt>
                <c:pt idx="71">
                  <c:v>52.968638810785691</c:v>
                </c:pt>
                <c:pt idx="72">
                  <c:v>54.023823584920798</c:v>
                </c:pt>
                <c:pt idx="73">
                  <c:v>55.084765434041167</c:v>
                </c:pt>
                <c:pt idx="74">
                  <c:v>56.151271540610004</c:v>
                </c:pt>
                <c:pt idx="75">
                  <c:v>57.223149626992452</c:v>
                </c:pt>
                <c:pt idx="76">
                  <c:v>58.30020804423097</c:v>
                </c:pt>
                <c:pt idx="77">
                  <c:v>59.382255858558715</c:v>
                </c:pt>
                <c:pt idx="78">
                  <c:v>60.469102935620889</c:v>
                </c:pt>
                <c:pt idx="79">
                  <c:v>61.560560022377558</c:v>
                </c:pt>
                <c:pt idx="80">
                  <c:v>62.656438826664392</c:v>
                </c:pt>
                <c:pt idx="81">
                  <c:v>63.756552094392042</c:v>
                </c:pt>
                <c:pt idx="82">
                  <c:v>64.860713684367099</c:v>
                </c:pt>
                <c:pt idx="83">
                  <c:v>65.968738640721526</c:v>
                </c:pt>
                <c:pt idx="84">
                  <c:v>67.080443262940634</c:v>
                </c:pt>
                <c:pt idx="85">
                  <c:v>68.195645173482447</c:v>
                </c:pt>
                <c:pt idx="86">
                  <c:v>69.314163382984603</c:v>
                </c:pt>
                <c:pt idx="87">
                  <c:v>70.435818353058067</c:v>
                </c:pt>
                <c:pt idx="88">
                  <c:v>71.560432056669441</c:v>
                </c:pt>
                <c:pt idx="89">
                  <c:v>72.687828036116997</c:v>
                </c:pt>
                <c:pt idx="90">
                  <c:v>73.817831458607799</c:v>
                </c:pt>
                <c:pt idx="91">
                  <c:v>74.950269169446372</c:v>
                </c:pt>
                <c:pt idx="92">
                  <c:v>76.084969742847761</c:v>
                </c:pt>
                <c:pt idx="93">
                  <c:v>77.221763530389765</c:v>
                </c:pt>
                <c:pt idx="94">
                  <c:v>78.360482707123239</c:v>
                </c:pt>
                <c:pt idx="95">
                  <c:v>79.500961315358879</c:v>
                </c:pt>
                <c:pt idx="96">
                  <c:v>80.643035306153848</c:v>
                </c:pt>
                <c:pt idx="97">
                  <c:v>81.786542578521747</c:v>
                </c:pt>
                <c:pt idx="98">
                  <c:v>82.931323016392525</c:v>
                </c:pt>
                <c:pt idx="99">
                  <c:v>84.077218523350041</c:v>
                </c:pt>
                <c:pt idx="100">
                  <c:v>85.224073055177485</c:v>
                </c:pt>
                <c:pt idx="101">
                  <c:v>86.371732650241555</c:v>
                </c:pt>
                <c:pt idx="102">
                  <c:v>87.52004545774922</c:v>
                </c:pt>
                <c:pt idx="103">
                  <c:v>88.668861763910883</c:v>
                </c:pt>
                <c:pt idx="104">
                  <c:v>89.818034016046113</c:v>
                </c:pt>
                <c:pt idx="105">
                  <c:v>90.967416844669373</c:v>
                </c:pt>
                <c:pt idx="106">
                  <c:v>92.116867083593206</c:v>
                </c:pt>
                <c:pt idx="107">
                  <c:v>93.266243788089383</c:v>
                </c:pt>
                <c:pt idx="108">
                  <c:v>94.415408251147269</c:v>
                </c:pt>
                <c:pt idx="109">
                  <c:v>95.564224017871567</c:v>
                </c:pt>
                <c:pt idx="110">
                  <c:v>96.712556898060484</c:v>
                </c:pt>
                <c:pt idx="111">
                  <c:v>97.860274977008217</c:v>
                </c:pt>
                <c:pt idx="112">
                  <c:v>99.007248624573791</c:v>
                </c:pt>
                <c:pt idx="113">
                  <c:v>100.15335050256107</c:v>
                </c:pt>
                <c:pt idx="114">
                  <c:v>101.29845557045405</c:v>
                </c:pt>
                <c:pt idx="115">
                  <c:v>102.44244108955142</c:v>
                </c:pt>
                <c:pt idx="116">
                  <c:v>103.58518662554634</c:v>
                </c:pt>
                <c:pt idx="117">
                  <c:v>104.72657404959587</c:v>
                </c:pt>
                <c:pt idx="118">
                  <c:v>105.86648753792561</c:v>
                </c:pt>
                <c:pt idx="119">
                  <c:v>107.00481357001502</c:v>
                </c:pt>
                <c:pt idx="120">
                  <c:v>108.14144092540845</c:v>
                </c:pt>
                <c:pt idx="121">
                  <c:v>109.27626067919756</c:v>
                </c:pt>
                <c:pt idx="122">
                  <c:v>110.40916619622007</c:v>
                </c:pt>
                <c:pt idx="123">
                  <c:v>111.54005312402005</c:v>
                </c:pt>
                <c:pt idx="124">
                  <c:v>112.66881938461427</c:v>
                </c:pt>
                <c:pt idx="125">
                  <c:v>113.79536516510929</c:v>
                </c:pt>
                <c:pt idx="126">
                  <c:v>114.91959290721334</c:v>
                </c:pt>
                <c:pt idx="127">
                  <c:v>116.04140729568708</c:v>
                </c:pt>
                <c:pt idx="128">
                  <c:v>117.16071524577572</c:v>
                </c:pt>
                <c:pt idx="129">
                  <c:v>118.27742588966635</c:v>
                </c:pt>
                <c:pt idx="130">
                  <c:v>119.39145056201224</c:v>
                </c:pt>
                <c:pt idx="131">
                  <c:v>120.50270278456624</c:v>
                </c:pt>
                <c:pt idx="132">
                  <c:v>121.6110982499637</c:v>
                </c:pt>
                <c:pt idx="133">
                  <c:v>122.71655480469713</c:v>
                </c:pt>
                <c:pt idx="134">
                  <c:v>123.81899243132042</c:v>
                </c:pt>
              </c:numCache>
            </c:numRef>
          </c:xVal>
          <c:yVal>
            <c:numRef>
              <c:f>[0]!BarrowsFG2</c:f>
              <c:numCache>
                <c:formatCode>General</c:formatCode>
                <c:ptCount val="134"/>
                <c:pt idx="0">
                  <c:v>1.1226170324781388</c:v>
                </c:pt>
                <c:pt idx="1">
                  <c:v>1.1335162269682073</c:v>
                </c:pt>
                <c:pt idx="2">
                  <c:v>1.1444154214582969</c:v>
                </c:pt>
                <c:pt idx="3">
                  <c:v>1.1553146159483647</c:v>
                </c:pt>
                <c:pt idx="4">
                  <c:v>1.1771130049285334</c:v>
                </c:pt>
                <c:pt idx="5">
                  <c:v>1.1926239359569688</c:v>
                </c:pt>
                <c:pt idx="6">
                  <c:v>1.2082118648627664</c:v>
                </c:pt>
                <c:pt idx="7">
                  <c:v>1.2239685308473551</c:v>
                </c:pt>
                <c:pt idx="8">
                  <c:v>1.2399582551362989</c:v>
                </c:pt>
                <c:pt idx="9">
                  <c:v>1.2562294291164027</c:v>
                </c:pt>
                <c:pt idx="10">
                  <c:v>1.2728208231301508</c:v>
                </c:pt>
                <c:pt idx="11">
                  <c:v>1.289765261270865</c:v>
                </c:pt>
                <c:pt idx="12">
                  <c:v>1.3070918727746501</c:v>
                </c:pt>
                <c:pt idx="13">
                  <c:v>1.3248275349464416</c:v>
                </c:pt>
                <c:pt idx="14">
                  <c:v>1.34299783762842</c:v>
                </c:pt>
                <c:pt idx="15">
                  <c:v>1.3616277547958766</c:v>
                </c:pt>
                <c:pt idx="16">
                  <c:v>1.3807421319761526</c:v>
                </c:pt>
                <c:pt idx="17">
                  <c:v>1.4003660554893929</c:v>
                </c:pt>
                <c:pt idx="18">
                  <c:v>1.4205251449224676</c:v>
                </c:pt>
                <c:pt idx="19">
                  <c:v>1.4282531472328754</c:v>
                </c:pt>
                <c:pt idx="20">
                  <c:v>1.4373232102871576</c:v>
                </c:pt>
                <c:pt idx="21">
                  <c:v>1.4552031291025174</c:v>
                </c:pt>
                <c:pt idx="22">
                  <c:v>1.4716104274042321</c:v>
                </c:pt>
                <c:pt idx="23">
                  <c:v>1.4866010333312976</c:v>
                </c:pt>
                <c:pt idx="24">
                  <c:v>1.5002291315935434</c:v>
                </c:pt>
                <c:pt idx="25">
                  <c:v>1.5193234639767439</c:v>
                </c:pt>
                <c:pt idx="26">
                  <c:v>1.5368618076331808</c:v>
                </c:pt>
                <c:pt idx="27">
                  <c:v>1.5529031599289957</c:v>
                </c:pt>
                <c:pt idx="28">
                  <c:v>1.5675046803501234</c:v>
                </c:pt>
                <c:pt idx="29">
                  <c:v>1.5807217427070732</c:v>
                </c:pt>
                <c:pt idx="30">
                  <c:v>1.5926079859345812</c:v>
                </c:pt>
                <c:pt idx="31">
                  <c:v>1.603215363522736</c:v>
                </c:pt>
                <c:pt idx="32">
                  <c:v>1.6125941916148576</c:v>
                </c:pt>
                <c:pt idx="33">
                  <c:v>1.6245772711863371</c:v>
                </c:pt>
                <c:pt idx="34">
                  <c:v>1.6352619553205532</c:v>
                </c:pt>
                <c:pt idx="35">
                  <c:v>1.65374971503695</c:v>
                </c:pt>
                <c:pt idx="36">
                  <c:v>1.6706432848404646</c:v>
                </c:pt>
                <c:pt idx="37">
                  <c:v>1.6860036263584384</c:v>
                </c:pt>
                <c:pt idx="38">
                  <c:v>1.6891428821510732</c:v>
                </c:pt>
                <c:pt idx="39">
                  <c:v>1.7265746879650576</c:v>
                </c:pt>
                <c:pt idx="40">
                  <c:v>1.7494064849236597</c:v>
                </c:pt>
                <c:pt idx="41">
                  <c:v>1.7721275453847876</c:v>
                </c:pt>
                <c:pt idx="42">
                  <c:v>1.7947279632507784</c:v>
                </c:pt>
                <c:pt idx="43">
                  <c:v>1.8171983273564183</c:v>
                </c:pt>
                <c:pt idx="44">
                  <c:v>1.8395297198304357</c:v>
                </c:pt>
                <c:pt idx="45">
                  <c:v>1.8617137150073881</c:v>
                </c:pt>
                <c:pt idx="46">
                  <c:v>1.8837423786738501</c:v>
                </c:pt>
                <c:pt idx="47">
                  <c:v>1.9056082674623489</c:v>
                </c:pt>
                <c:pt idx="48">
                  <c:v>1.9273044282249521</c:v>
                </c:pt>
                <c:pt idx="49">
                  <c:v>1.9488243972440411</c:v>
                </c:pt>
                <c:pt idx="50">
                  <c:v>1.9701621991543974</c:v>
                </c:pt>
                <c:pt idx="51">
                  <c:v>1.9913123454701303</c:v>
                </c:pt>
                <c:pt idx="52">
                  <c:v>2.0122698326255914</c:v>
                </c:pt>
                <c:pt idx="53">
                  <c:v>2.033030139454457</c:v>
                </c:pt>
                <c:pt idx="54">
                  <c:v>2.0535892240463349</c:v>
                </c:pt>
                <c:pt idx="55">
                  <c:v>2.0739435199308844</c:v>
                </c:pt>
                <c:pt idx="56">
                  <c:v>2.0940899315541324</c:v>
                </c:pt>
                <c:pt idx="57">
                  <c:v>2.1140258290199005</c:v>
                </c:pt>
                <c:pt idx="58">
                  <c:v>2.1337490420817109</c:v>
                </c:pt>
                <c:pt idx="59">
                  <c:v>2.153257853378221</c:v>
                </c:pt>
                <c:pt idx="60">
                  <c:v>2.172550990914401</c:v>
                </c:pt>
                <c:pt idx="61">
                  <c:v>2.1916276197986133</c:v>
                </c:pt>
                <c:pt idx="62">
                  <c:v>2.2062764804792967</c:v>
                </c:pt>
                <c:pt idx="63">
                  <c:v>2.2307654135731076</c:v>
                </c:pt>
                <c:pt idx="64">
                  <c:v>2.2548771181662675</c:v>
                </c:pt>
                <c:pt idx="65">
                  <c:v>2.2786101718934981</c:v>
                </c:pt>
                <c:pt idx="66">
                  <c:v>2.3019639056377819</c:v>
                </c:pt>
                <c:pt idx="67">
                  <c:v>2.3249383834349411</c:v>
                </c:pt>
                <c:pt idx="68">
                  <c:v>2.3475343810453957</c:v>
                </c:pt>
                <c:pt idx="69">
                  <c:v>2.3697533633085119</c:v>
                </c:pt>
                <c:pt idx="70">
                  <c:v>2.3915974603973926</c:v>
                </c:pt>
                <c:pt idx="71">
                  <c:v>2.4130694430930983</c:v>
                </c:pt>
                <c:pt idx="72">
                  <c:v>2.4341726971992821</c:v>
                </c:pt>
                <c:pt idx="73">
                  <c:v>2.454911197216413</c:v>
                </c:pt>
                <c:pt idx="74">
                  <c:v>2.4752894793949336</c:v>
                </c:pt>
                <c:pt idx="75">
                  <c:v>2.4953126142849689</c:v>
                </c:pt>
                <c:pt idx="76">
                  <c:v>2.5149861788982002</c:v>
                </c:pt>
                <c:pt idx="77">
                  <c:v>2.5343162285938963</c:v>
                </c:pt>
                <c:pt idx="78">
                  <c:v>2.5533092687987944</c:v>
                </c:pt>
                <c:pt idx="79">
                  <c:v>2.5719722266666856</c:v>
                </c:pt>
                <c:pt idx="80">
                  <c:v>2.590312422777004</c:v>
                </c:pt>
                <c:pt idx="81">
                  <c:v>2.608337542971551</c:v>
                </c:pt>
                <c:pt idx="82">
                  <c:v>2.6260556104187649</c:v>
                </c:pt>
                <c:pt idx="83">
                  <c:v>2.6434749579925696</c:v>
                </c:pt>
                <c:pt idx="84">
                  <c:v>2.6606042010465107</c:v>
                </c:pt>
                <c:pt idx="85">
                  <c:v>2.6774522106586787</c:v>
                </c:pt>
                <c:pt idx="86">
                  <c:v>2.6940280874157754</c:v>
                </c:pt>
                <c:pt idx="87">
                  <c:v>2.7103411358012264</c:v>
                </c:pt>
                <c:pt idx="88">
                  <c:v>2.726400839243464</c:v>
                </c:pt>
                <c:pt idx="89">
                  <c:v>2.742216835877771</c:v>
                </c:pt>
                <c:pt idx="90">
                  <c:v>2.7577988950661307</c:v>
                </c:pt>
                <c:pt idx="91">
                  <c:v>2.7731568947162804</c:v>
                </c:pt>
                <c:pt idx="92">
                  <c:v>2.7883007994355693</c:v>
                </c:pt>
                <c:pt idx="93">
                  <c:v>2.8032406395445286</c:v>
                </c:pt>
                <c:pt idx="94">
                  <c:v>2.8179864909811587</c:v>
                </c:pt>
                <c:pt idx="95">
                  <c:v>2.8325484561075331</c:v>
                </c:pt>
                <c:pt idx="96">
                  <c:v>2.8469366454375691</c:v>
                </c:pt>
                <c:pt idx="97">
                  <c:v>2.86116116029251</c:v>
                </c:pt>
                <c:pt idx="98">
                  <c:v>2.8752320763907337</c:v>
                </c:pt>
                <c:pt idx="99">
                  <c:v>2.8891594283710531</c:v>
                </c:pt>
                <c:pt idx="100">
                  <c:v>2.902953195248164</c:v>
                </c:pt>
                <c:pt idx="101">
                  <c:v>2.9166232867910256</c:v>
                </c:pt>
                <c:pt idx="102">
                  <c:v>2.9301795308169472</c:v>
                </c:pt>
                <c:pt idx="103">
                  <c:v>2.9436316613857745</c:v>
                </c:pt>
                <c:pt idx="104">
                  <c:v>2.9569893078790361</c:v>
                </c:pt>
                <c:pt idx="105">
                  <c:v>2.9702619849471179</c:v>
                </c:pt>
                <c:pt idx="106">
                  <c:v>2.9834590832999441</c:v>
                </c:pt>
                <c:pt idx="107">
                  <c:v>2.9965898613232964</c:v>
                </c:pt>
                <c:pt idx="108">
                  <c:v>3.0096634374914388</c:v>
                </c:pt>
                <c:pt idx="109">
                  <c:v>3.0226887835546501</c:v>
                </c:pt>
                <c:pt idx="110">
                  <c:v>3.0356747184694424</c:v>
                </c:pt>
                <c:pt idx="111">
                  <c:v>3.048629903048758</c:v>
                </c:pt>
                <c:pt idx="112">
                  <c:v>3.061562835297607</c:v>
                </c:pt>
                <c:pt idx="113">
                  <c:v>3.0744818464075068</c:v>
                </c:pt>
                <c:pt idx="114">
                  <c:v>3.0873950973802398</c:v>
                </c:pt>
                <c:pt idx="115">
                  <c:v>3.1003105762464238</c:v>
                </c:pt>
                <c:pt idx="116">
                  <c:v>3.1132360958525833</c:v>
                </c:pt>
                <c:pt idx="117">
                  <c:v>3.1261792921836906</c:v>
                </c:pt>
                <c:pt idx="118">
                  <c:v>3.1391476231911035</c:v>
                </c:pt>
                <c:pt idx="119">
                  <c:v>3.152148368096813</c:v>
                </c:pt>
                <c:pt idx="120">
                  <c:v>3.1651886271427214</c:v>
                </c:pt>
                <c:pt idx="121">
                  <c:v>3.1782753217570487</c:v>
                </c:pt>
                <c:pt idx="122">
                  <c:v>3.191415195108259</c:v>
                </c:pt>
                <c:pt idx="123">
                  <c:v>3.2046148130200187</c:v>
                </c:pt>
                <c:pt idx="124">
                  <c:v>3.2178805652183504</c:v>
                </c:pt>
                <c:pt idx="125">
                  <c:v>3.2312186668859946</c:v>
                </c:pt>
                <c:pt idx="126">
                  <c:v>3.244635160496836</c:v>
                </c:pt>
                <c:pt idx="127">
                  <c:v>3.2581359179094669</c:v>
                </c:pt>
                <c:pt idx="128">
                  <c:v>3.2717266426910308</c:v>
                </c:pt>
                <c:pt idx="129">
                  <c:v>3.2854128726532008</c:v>
                </c:pt>
                <c:pt idx="130">
                  <c:v>3.2991999825757388</c:v>
                </c:pt>
                <c:pt idx="131">
                  <c:v>3.3130931871005935</c:v>
                </c:pt>
                <c:pt idx="132">
                  <c:v>3.327097543769634</c:v>
                </c:pt>
                <c:pt idx="133">
                  <c:v>3.3412179561983093</c:v>
                </c:pt>
              </c:numCache>
            </c:numRef>
          </c:yVal>
          <c:smooth val="1"/>
          <c:extLst>
            <c:ext xmlns:c16="http://schemas.microsoft.com/office/drawing/2014/chart" uri="{C3380CC4-5D6E-409C-BE32-E72D297353CC}">
              <c16:uniqueId val="{00000000-C4B0-4FC7-B9CD-08F5AC147BF2}"/>
            </c:ext>
          </c:extLst>
        </c:ser>
        <c:ser>
          <c:idx val="2"/>
          <c:order val="1"/>
          <c:tx>
            <c:strRef>
              <c:f>'E-Mixed'!$I$1</c:f>
              <c:strCache>
                <c:ptCount val="1"/>
                <c:pt idx="0">
                  <c:v>Mixed Gender</c:v>
                </c:pt>
              </c:strCache>
            </c:strRef>
          </c:tx>
          <c:spPr>
            <a:ln w="28575" cap="rnd">
              <a:solidFill>
                <a:schemeClr val="accent3"/>
              </a:solidFill>
              <a:round/>
            </a:ln>
            <a:effectLst/>
          </c:spPr>
          <c:marker>
            <c:symbol val="none"/>
          </c:marker>
          <c:xVal>
            <c:numRef>
              <c:f>[0]!MixedBW2</c:f>
              <c:numCache>
                <c:formatCode>0.00</c:formatCode>
                <c:ptCount val="135"/>
                <c:pt idx="0">
                  <c:v>6</c:v>
                </c:pt>
                <c:pt idx="1">
                  <c:v>6.0890879786902508</c:v>
                </c:pt>
                <c:pt idx="2">
                  <c:v>6.2042353545133473</c:v>
                </c:pt>
                <c:pt idx="3">
                  <c:v>6.3448216656327858</c:v>
                </c:pt>
                <c:pt idx="4">
                  <c:v>6.5102264502120768</c:v>
                </c:pt>
                <c:pt idx="5">
                  <c:v>6.69982924641472</c:v>
                </c:pt>
                <c:pt idx="6">
                  <c:v>6.9130095924042214</c:v>
                </c:pt>
                <c:pt idx="7">
                  <c:v>7.1491470263440835</c:v>
                </c:pt>
                <c:pt idx="8">
                  <c:v>7.4076210863978105</c:v>
                </c:pt>
                <c:pt idx="9">
                  <c:v>7.6878113107289057</c:v>
                </c:pt>
                <c:pt idx="10">
                  <c:v>7.9890972375008733</c:v>
                </c:pt>
                <c:pt idx="11">
                  <c:v>8.3108584048772194</c:v>
                </c:pt>
                <c:pt idx="12">
                  <c:v>8.6524743510214428</c:v>
                </c:pt>
                <c:pt idx="13">
                  <c:v>9.0133246140970478</c:v>
                </c:pt>
                <c:pt idx="14">
                  <c:v>9.3927887322675438</c:v>
                </c:pt>
                <c:pt idx="15">
                  <c:v>9.7902462436964282</c:v>
                </c:pt>
                <c:pt idx="16">
                  <c:v>10.205076686547208</c:v>
                </c:pt>
                <c:pt idx="17">
                  <c:v>10.636659598983389</c:v>
                </c:pt>
                <c:pt idx="18">
                  <c:v>11.08437451916847</c:v>
                </c:pt>
                <c:pt idx="19">
                  <c:v>11.547600985265957</c:v>
                </c:pt>
                <c:pt idx="20">
                  <c:v>12.025718535439355</c:v>
                </c:pt>
                <c:pt idx="21">
                  <c:v>12.518106707852166</c:v>
                </c:pt>
                <c:pt idx="22">
                  <c:v>13.021520277357745</c:v>
                </c:pt>
                <c:pt idx="23">
                  <c:v>13.536206121090565</c:v>
                </c:pt>
                <c:pt idx="24">
                  <c:v>14.062416644178242</c:v>
                </c:pt>
                <c:pt idx="25">
                  <c:v>14.600409903522564</c:v>
                </c:pt>
                <c:pt idx="26">
                  <c:v>15.150449734352225</c:v>
                </c:pt>
                <c:pt idx="27">
                  <c:v>15.71280587960922</c:v>
                </c:pt>
                <c:pt idx="28">
                  <c:v>16.287754122232471</c:v>
                </c:pt>
                <c:pt idx="29">
                  <c:v>16.875576420403497</c:v>
                </c:pt>
                <c:pt idx="30">
                  <c:v>17.476561045820446</c:v>
                </c:pt>
                <c:pt idx="31">
                  <c:v>18.091002725068329</c:v>
                </c:pt>
                <c:pt idx="32">
                  <c:v>18.719202784154728</c:v>
                </c:pt>
                <c:pt idx="33">
                  <c:v>19.36146929628201</c:v>
                </c:pt>
                <c:pt idx="34">
                  <c:v>20.018117232928262</c:v>
                </c:pt>
                <c:pt idx="35">
                  <c:v>20.689468618311306</c:v>
                </c:pt>
                <c:pt idx="36">
                  <c:v>21.375852687311333</c:v>
                </c:pt>
                <c:pt idx="37">
                  <c:v>22.077606046929766</c:v>
                </c:pt>
                <c:pt idx="38">
                  <c:v>22.795072841363378</c:v>
                </c:pt>
                <c:pt idx="39">
                  <c:v>23.528194024845337</c:v>
                </c:pt>
                <c:pt idx="40">
                  <c:v>24.279978571820696</c:v>
                </c:pt>
                <c:pt idx="41">
                  <c:v>25.042361886562691</c:v>
                </c:pt>
                <c:pt idx="42">
                  <c:v>25.815196947691</c:v>
                </c:pt>
                <c:pt idx="43">
                  <c:v>26.598334463526566</c:v>
                </c:pt>
                <c:pt idx="44">
                  <c:v>27.391622975758104</c:v>
                </c:pt>
                <c:pt idx="45">
                  <c:v>28.194908962891979</c:v>
                </c:pt>
                <c:pt idx="46">
                  <c:v>29.008036943424592</c:v>
                </c:pt>
                <c:pt idx="47">
                  <c:v>29.830849578675302</c:v>
                </c:pt>
                <c:pt idx="48">
                  <c:v>30.663187775215619</c:v>
                </c:pt>
                <c:pt idx="49">
                  <c:v>31.504890786830554</c:v>
                </c:pt>
                <c:pt idx="50">
                  <c:v>32.355796315946755</c:v>
                </c:pt>
                <c:pt idx="51">
                  <c:v>33.215740614461993</c:v>
                </c:pt>
                <c:pt idx="52">
                  <c:v>34.084558583910592</c:v>
                </c:pt>
                <c:pt idx="53">
                  <c:v>34.96208387489947</c:v>
                </c:pt>
                <c:pt idx="54">
                  <c:v>35.848148985750264</c:v>
                </c:pt>
                <c:pt idx="55">
                  <c:v>36.742585360283307</c:v>
                </c:pt>
                <c:pt idx="56">
                  <c:v>37.645223484680592</c:v>
                </c:pt>
                <c:pt idx="57">
                  <c:v>38.555892983365545</c:v>
                </c:pt>
                <c:pt idx="58">
                  <c:v>39.474422713839076</c:v>
                </c:pt>
                <c:pt idx="59">
                  <c:v>40.400640860412537</c:v>
                </c:pt>
                <c:pt idx="60">
                  <c:v>41.334375026779924</c:v>
                </c:pt>
                <c:pt idx="61">
                  <c:v>42.27545232737338</c:v>
                </c:pt>
                <c:pt idx="62">
                  <c:v>43.223699477447909</c:v>
                </c:pt>
                <c:pt idx="63">
                  <c:v>44.178942881842943</c:v>
                </c:pt>
                <c:pt idx="64">
                  <c:v>45.141008722370863</c:v>
                </c:pt>
                <c:pt idx="65">
                  <c:v>46.109723043784157</c:v>
                </c:pt>
                <c:pt idx="66">
                  <c:v>47.084911838275637</c:v>
                </c:pt>
                <c:pt idx="67">
                  <c:v>48.066401128467909</c:v>
                </c:pt>
                <c:pt idx="68">
                  <c:v>49.054017048851073</c:v>
                </c:pt>
                <c:pt idx="69">
                  <c:v>50.047585925629484</c:v>
                </c:pt>
                <c:pt idx="70">
                  <c:v>51.046934354941378</c:v>
                </c:pt>
                <c:pt idx="71">
                  <c:v>52.051889279416983</c:v>
                </c:pt>
                <c:pt idx="72">
                  <c:v>53.062278063043777</c:v>
                </c:pt>
                <c:pt idx="73">
                  <c:v>54.077928564309673</c:v>
                </c:pt>
                <c:pt idx="74">
                  <c:v>55.09866920759714</c:v>
                </c:pt>
                <c:pt idx="75">
                  <c:v>56.124329052804697</c:v>
                </c:pt>
                <c:pt idx="76">
                  <c:v>57.154737863173288</c:v>
                </c:pt>
                <c:pt idx="77">
                  <c:v>58.18972617129895</c:v>
                </c:pt>
                <c:pt idx="78">
                  <c:v>59.229125343314294</c:v>
                </c:pt>
                <c:pt idx="79">
                  <c:v>60.272767641224874</c:v>
                </c:pt>
                <c:pt idx="80">
                  <c:v>61.320486283387936</c:v>
                </c:pt>
                <c:pt idx="81">
                  <c:v>62.372115503124206</c:v>
                </c:pt>
                <c:pt idx="82">
                  <c:v>63.427490605455077</c:v>
                </c:pt>
                <c:pt idx="83">
                  <c:v>64.48644802195993</c:v>
                </c:pt>
                <c:pt idx="84">
                  <c:v>65.548825363751163</c:v>
                </c:pt>
                <c:pt idx="85">
                  <c:v>66.614461472565523</c:v>
                </c:pt>
                <c:pt idx="86">
                  <c:v>67.683196469973424</c:v>
                </c:pt>
                <c:pt idx="87">
                  <c:v>68.75487180470995</c:v>
                </c:pt>
                <c:pt idx="88">
                  <c:v>69.82933029813212</c:v>
                </c:pt>
                <c:pt idx="89">
                  <c:v>70.906416187810777</c:v>
                </c:pt>
                <c:pt idx="90">
                  <c:v>71.9859751692656</c:v>
                </c:pt>
                <c:pt idx="91">
                  <c:v>73.067854435854514</c:v>
                </c:pt>
                <c:pt idx="92">
                  <c:v>74.151902716830364</c:v>
                </c:pt>
                <c:pt idx="93">
                  <c:v>75.237970313579126</c:v>
                </c:pt>
                <c:pt idx="94">
                  <c:v>76.325909134055976</c:v>
                </c:pt>
                <c:pt idx="95">
                  <c:v>77.415572725436576</c:v>
                </c:pt>
                <c:pt idx="96">
                  <c:v>78.506816305002587</c:v>
                </c:pt>
                <c:pt idx="97">
                  <c:v>79.599496789282341</c:v>
                </c:pt>
                <c:pt idx="98">
                  <c:v>80.693472821467722</c:v>
                </c:pt>
                <c:pt idx="99">
                  <c:v>81.788604797131015</c:v>
                </c:pt>
                <c:pt idx="100">
                  <c:v>82.884754888265434</c:v>
                </c:pt>
                <c:pt idx="101">
                  <c:v>83.981787065674723</c:v>
                </c:pt>
                <c:pt idx="102">
                  <c:v>85.079567119738485</c:v>
                </c:pt>
                <c:pt idx="103">
                  <c:v>86.17796267958019</c:v>
                </c:pt>
                <c:pt idx="104">
                  <c:v>87.276843230666159</c:v>
                </c:pt>
                <c:pt idx="105">
                  <c:v>88.376080130864835</c:v>
                </c:pt>
                <c:pt idx="106">
                  <c:v>89.475546624995644</c:v>
                </c:pt>
                <c:pt idx="107">
                  <c:v>90.575117857898576</c:v>
                </c:pt>
                <c:pt idx="108">
                  <c:v>91.674670886054855</c:v>
                </c:pt>
                <c:pt idx="109">
                  <c:v>92.774084687791046</c:v>
                </c:pt>
                <c:pt idx="110">
                  <c:v>93.873240172098434</c:v>
                </c:pt>
                <c:pt idx="111">
                  <c:v>94.97202018610038</c:v>
                </c:pt>
                <c:pt idx="112">
                  <c:v>96.07030952120067</c:v>
                </c:pt>
                <c:pt idx="113">
                  <c:v>97.167994917946046</c:v>
                </c:pt>
                <c:pt idx="114">
                  <c:v>98.264965069636901</c:v>
                </c:pt>
                <c:pt idx="115">
                  <c:v>99.361110624719302</c:v>
                </c:pt>
                <c:pt idx="116">
                  <c:v>100.45632418799291</c:v>
                </c:pt>
                <c:pt idx="117">
                  <c:v>101.55050032066856</c:v>
                </c:pt>
                <c:pt idx="118">
                  <c:v>102.64353553930961</c:v>
                </c:pt>
                <c:pt idx="119">
                  <c:v>103.73532831369133</c:v>
                </c:pt>
                <c:pt idx="120">
                  <c:v>104.82577906361227</c:v>
                </c:pt>
                <c:pt idx="121">
                  <c:v>105.91479015469183</c:v>
                </c:pt>
                <c:pt idx="122">
                  <c:v>107.0022658931876</c:v>
                </c:pt>
                <c:pt idx="123">
                  <c:v>108.0881125198667</c:v>
                </c:pt>
                <c:pt idx="124">
                  <c:v>109.17223820296418</c:v>
                </c:pt>
                <c:pt idx="125">
                  <c:v>110.25455303026199</c:v>
                </c:pt>
                <c:pt idx="126">
                  <c:v>111.33496900032156</c:v>
                </c:pt>
                <c:pt idx="127">
                  <c:v>112.41340001290301</c:v>
                </c:pt>
                <c:pt idx="128">
                  <c:v>113.48976185860258</c:v>
                </c:pt>
                <c:pt idx="129">
                  <c:v>114.56397220774132</c:v>
                </c:pt>
                <c:pt idx="130">
                  <c:v>115.63595059853606</c:v>
                </c:pt>
                <c:pt idx="131">
                  <c:v>116.70561842458424</c:v>
                </c:pt>
                <c:pt idx="132">
                  <c:v>117.77289892169298</c:v>
                </c:pt>
                <c:pt idx="133">
                  <c:v>118.83771715408352</c:v>
                </c:pt>
                <c:pt idx="134">
                  <c:v>119.90000000000005</c:v>
                </c:pt>
              </c:numCache>
            </c:numRef>
          </c:xVal>
          <c:yVal>
            <c:numRef>
              <c:f>[0]!MixedFG2</c:f>
              <c:numCache>
                <c:formatCode>General</c:formatCode>
                <c:ptCount val="134"/>
                <c:pt idx="0">
                  <c:v>1.1226170324781388</c:v>
                </c:pt>
                <c:pt idx="1">
                  <c:v>1.1335162269682073</c:v>
                </c:pt>
                <c:pt idx="2">
                  <c:v>1.1444154214582969</c:v>
                </c:pt>
                <c:pt idx="3">
                  <c:v>1.1553146159483647</c:v>
                </c:pt>
                <c:pt idx="4">
                  <c:v>1.1771130049285334</c:v>
                </c:pt>
                <c:pt idx="5">
                  <c:v>1.1926239359569688</c:v>
                </c:pt>
                <c:pt idx="6">
                  <c:v>1.2082118648627664</c:v>
                </c:pt>
                <c:pt idx="7">
                  <c:v>1.2239685308473551</c:v>
                </c:pt>
                <c:pt idx="8">
                  <c:v>1.2399582551362989</c:v>
                </c:pt>
                <c:pt idx="9">
                  <c:v>1.2562294291164027</c:v>
                </c:pt>
                <c:pt idx="10">
                  <c:v>1.2728208231301508</c:v>
                </c:pt>
                <c:pt idx="11">
                  <c:v>1.289765261270865</c:v>
                </c:pt>
                <c:pt idx="12">
                  <c:v>1.3070918727746501</c:v>
                </c:pt>
                <c:pt idx="13">
                  <c:v>1.3248275349464416</c:v>
                </c:pt>
                <c:pt idx="14">
                  <c:v>1.34299783762842</c:v>
                </c:pt>
                <c:pt idx="15">
                  <c:v>1.3616277547958766</c:v>
                </c:pt>
                <c:pt idx="16">
                  <c:v>1.3807421319761526</c:v>
                </c:pt>
                <c:pt idx="17">
                  <c:v>1.4003660554893929</c:v>
                </c:pt>
                <c:pt idx="18">
                  <c:v>1.4205251449224676</c:v>
                </c:pt>
                <c:pt idx="19">
                  <c:v>1.4282531472328754</c:v>
                </c:pt>
                <c:pt idx="20">
                  <c:v>1.4373232102871576</c:v>
                </c:pt>
                <c:pt idx="21">
                  <c:v>1.4552031291025174</c:v>
                </c:pt>
                <c:pt idx="22">
                  <c:v>1.4716104274042321</c:v>
                </c:pt>
                <c:pt idx="23">
                  <c:v>1.4866010333312976</c:v>
                </c:pt>
                <c:pt idx="24">
                  <c:v>1.5002291315935434</c:v>
                </c:pt>
                <c:pt idx="25">
                  <c:v>1.5193234639767439</c:v>
                </c:pt>
                <c:pt idx="26">
                  <c:v>1.5368618076331808</c:v>
                </c:pt>
                <c:pt idx="27">
                  <c:v>1.5529031599289957</c:v>
                </c:pt>
                <c:pt idx="28">
                  <c:v>1.5675046803501234</c:v>
                </c:pt>
                <c:pt idx="29">
                  <c:v>1.5807217427070732</c:v>
                </c:pt>
                <c:pt idx="30">
                  <c:v>1.5926079859345812</c:v>
                </c:pt>
                <c:pt idx="31">
                  <c:v>1.603215363522736</c:v>
                </c:pt>
                <c:pt idx="32">
                  <c:v>1.6125941916148576</c:v>
                </c:pt>
                <c:pt idx="33">
                  <c:v>1.6245772711863371</c:v>
                </c:pt>
                <c:pt idx="34">
                  <c:v>1.6352619553205532</c:v>
                </c:pt>
                <c:pt idx="35">
                  <c:v>1.65374971503695</c:v>
                </c:pt>
                <c:pt idx="36">
                  <c:v>1.6706432848404646</c:v>
                </c:pt>
                <c:pt idx="37">
                  <c:v>1.6860036263584384</c:v>
                </c:pt>
                <c:pt idx="38">
                  <c:v>1.6891428821510732</c:v>
                </c:pt>
                <c:pt idx="39">
                  <c:v>1.7265746879650576</c:v>
                </c:pt>
                <c:pt idx="40">
                  <c:v>1.7494064849236597</c:v>
                </c:pt>
                <c:pt idx="41">
                  <c:v>1.7721275453847876</c:v>
                </c:pt>
                <c:pt idx="42">
                  <c:v>1.7947279632507784</c:v>
                </c:pt>
                <c:pt idx="43">
                  <c:v>1.8171983273564183</c:v>
                </c:pt>
                <c:pt idx="44">
                  <c:v>1.8395297198304357</c:v>
                </c:pt>
                <c:pt idx="45">
                  <c:v>1.8617137150073881</c:v>
                </c:pt>
                <c:pt idx="46">
                  <c:v>1.8837423786738501</c:v>
                </c:pt>
                <c:pt idx="47">
                  <c:v>1.9056082674623489</c:v>
                </c:pt>
                <c:pt idx="48">
                  <c:v>1.9273044282249521</c:v>
                </c:pt>
                <c:pt idx="49">
                  <c:v>1.9488243972440411</c:v>
                </c:pt>
                <c:pt idx="50">
                  <c:v>1.9701621991543974</c:v>
                </c:pt>
                <c:pt idx="51">
                  <c:v>1.9913123454701303</c:v>
                </c:pt>
                <c:pt idx="52">
                  <c:v>2.0122698326255914</c:v>
                </c:pt>
                <c:pt idx="53">
                  <c:v>2.033030139454457</c:v>
                </c:pt>
                <c:pt idx="54">
                  <c:v>2.0535892240463349</c:v>
                </c:pt>
                <c:pt idx="55">
                  <c:v>2.0739435199308844</c:v>
                </c:pt>
                <c:pt idx="56">
                  <c:v>2.0940899315541324</c:v>
                </c:pt>
                <c:pt idx="57">
                  <c:v>2.1140258290199005</c:v>
                </c:pt>
                <c:pt idx="58">
                  <c:v>2.1337490420817109</c:v>
                </c:pt>
                <c:pt idx="59">
                  <c:v>2.153257853378221</c:v>
                </c:pt>
                <c:pt idx="60">
                  <c:v>2.172550990914401</c:v>
                </c:pt>
                <c:pt idx="61">
                  <c:v>2.1916276197986133</c:v>
                </c:pt>
                <c:pt idx="62">
                  <c:v>2.210487333252237</c:v>
                </c:pt>
                <c:pt idx="63">
                  <c:v>2.2291301429151598</c:v>
                </c:pt>
                <c:pt idx="64">
                  <c:v>2.2475564684760911</c:v>
                </c:pt>
                <c:pt idx="65">
                  <c:v>2.2657671266613084</c:v>
                </c:pt>
                <c:pt idx="66">
                  <c:v>2.2837633196203933</c:v>
                </c:pt>
                <c:pt idx="67">
                  <c:v>2.3015466227501551</c:v>
                </c:pt>
                <c:pt idx="68">
                  <c:v>2.3191189720031544</c:v>
                </c:pt>
                <c:pt idx="69">
                  <c:v>2.3364826507264391</c:v>
                </c:pt>
                <c:pt idx="70">
                  <c:v>2.3536402760822499</c:v>
                </c:pt>
                <c:pt idx="71">
                  <c:v>2.37059478510022</c:v>
                </c:pt>
                <c:pt idx="72">
                  <c:v>2.3873494204138668</c:v>
                </c:pt>
                <c:pt idx="73">
                  <c:v>2.4039077157348774</c:v>
                </c:pt>
                <c:pt idx="74">
                  <c:v>2.4202734811159266</c:v>
                </c:pt>
                <c:pt idx="75">
                  <c:v>2.4364507880574138</c:v>
                </c:pt>
                <c:pt idx="76">
                  <c:v>2.4524439545073102</c:v>
                </c:pt>
                <c:pt idx="77">
                  <c:v>2.4682575298074227</c:v>
                </c:pt>
                <c:pt idx="78">
                  <c:v>2.4838962796337749</c:v>
                </c:pt>
                <c:pt idx="79">
                  <c:v>2.4993651709807914</c:v>
                </c:pt>
                <c:pt idx="80">
                  <c:v>2.5146693572341716</c:v>
                </c:pt>
                <c:pt idx="81">
                  <c:v>2.5298141633774569</c:v>
                </c:pt>
                <c:pt idx="82">
                  <c:v>2.5448050713746699</c:v>
                </c:pt>
                <c:pt idx="83">
                  <c:v>2.5596477057665981</c:v>
                </c:pt>
                <c:pt idx="84">
                  <c:v>2.5743478195207095</c:v>
                </c:pt>
                <c:pt idx="85">
                  <c:v>2.5889112801668479</c:v>
                </c:pt>
                <c:pt idx="86">
                  <c:v>2.6033440562506103</c:v>
                </c:pt>
                <c:pt idx="87">
                  <c:v>2.6176522041355255</c:v>
                </c:pt>
                <c:pt idx="88">
                  <c:v>2.6318418551769533</c:v>
                </c:pt>
                <c:pt idx="89">
                  <c:v>2.6459192032938503</c:v>
                </c:pt>
                <c:pt idx="90">
                  <c:v>2.6598904929580724</c:v>
                </c:pt>
                <c:pt idx="91">
                  <c:v>2.6737620076182553</c:v>
                </c:pt>
                <c:pt idx="92">
                  <c:v>2.6875400585753781</c:v>
                </c:pt>
                <c:pt idx="93">
                  <c:v>2.7012309743206648</c:v>
                </c:pt>
                <c:pt idx="94">
                  <c:v>2.7148410903472215</c:v>
                </c:pt>
                <c:pt idx="95">
                  <c:v>2.728376739442762</c:v>
                </c:pt>
                <c:pt idx="96">
                  <c:v>2.7418442424677676</c:v>
                </c:pt>
                <c:pt idx="97">
                  <c:v>2.7552498996235855</c:v>
                </c:pt>
                <c:pt idx="98">
                  <c:v>2.7685999822101377</c:v>
                </c:pt>
                <c:pt idx="99">
                  <c:v>2.7819007248726275</c:v>
                </c:pt>
                <c:pt idx="100">
                  <c:v>2.7951583183347091</c:v>
                </c:pt>
                <c:pt idx="101">
                  <c:v>2.808378902612092</c:v>
                </c:pt>
                <c:pt idx="102">
                  <c:v>2.8215685607019445</c:v>
                </c:pt>
                <c:pt idx="103">
                  <c:v>2.8347333127392935</c:v>
                </c:pt>
                <c:pt idx="104">
                  <c:v>2.8478791106109385</c:v>
                </c:pt>
                <c:pt idx="105">
                  <c:v>2.8610118330182579</c:v>
                </c:pt>
                <c:pt idx="106">
                  <c:v>2.8741372809749199</c:v>
                </c:pt>
                <c:pt idx="107">
                  <c:v>2.8872611737302427</c:v>
                </c:pt>
                <c:pt idx="108">
                  <c:v>2.9003891451019017</c:v>
                </c:pt>
                <c:pt idx="109">
                  <c:v>2.9135267402064895</c:v>
                </c:pt>
                <c:pt idx="110">
                  <c:v>2.9266794125722715</c:v>
                </c:pt>
                <c:pt idx="111">
                  <c:v>2.9398525216194513</c:v>
                </c:pt>
                <c:pt idx="112">
                  <c:v>2.9530513304928951</c:v>
                </c:pt>
                <c:pt idx="113">
                  <c:v>2.9662810042303738</c:v>
                </c:pt>
                <c:pt idx="114">
                  <c:v>2.9795466082536688</c:v>
                </c:pt>
                <c:pt idx="115">
                  <c:v>2.9928531071622455</c:v>
                </c:pt>
                <c:pt idx="116">
                  <c:v>3.0062053638170227</c:v>
                </c:pt>
                <c:pt idx="117">
                  <c:v>3.0196081386973828</c:v>
                </c:pt>
                <c:pt idx="118">
                  <c:v>3.0330660895146182</c:v>
                </c:pt>
                <c:pt idx="119">
                  <c:v>3.0465837710679451</c:v>
                </c:pt>
                <c:pt idx="120">
                  <c:v>3.0601656353259319</c:v>
                </c:pt>
                <c:pt idx="121">
                  <c:v>3.0738160317204151</c:v>
                </c:pt>
                <c:pt idx="122">
                  <c:v>3.0875392076356296</c:v>
                </c:pt>
                <c:pt idx="123">
                  <c:v>3.1013393090802635</c:v>
                </c:pt>
                <c:pt idx="124">
                  <c:v>3.1152203815282191</c:v>
                </c:pt>
                <c:pt idx="125">
                  <c:v>3.1291863709128052</c:v>
                </c:pt>
                <c:pt idx="126">
                  <c:v>3.1432411247630276</c:v>
                </c:pt>
                <c:pt idx="127">
                  <c:v>3.1573883934698541</c:v>
                </c:pt>
                <c:pt idx="128">
                  <c:v>3.1716318316680652</c:v>
                </c:pt>
                <c:pt idx="129">
                  <c:v>3.1859749997236944</c:v>
                </c:pt>
                <c:pt idx="130">
                  <c:v>3.2004213653158424</c:v>
                </c:pt>
                <c:pt idx="131">
                  <c:v>3.2149743051028334</c:v>
                </c:pt>
                <c:pt idx="132">
                  <c:v>3.2296371064597627</c:v>
                </c:pt>
                <c:pt idx="133">
                  <c:v>3.2444129692827022</c:v>
                </c:pt>
              </c:numCache>
            </c:numRef>
          </c:yVal>
          <c:smooth val="1"/>
          <c:extLst>
            <c:ext xmlns:c16="http://schemas.microsoft.com/office/drawing/2014/chart" uri="{C3380CC4-5D6E-409C-BE32-E72D297353CC}">
              <c16:uniqueId val="{00000001-C4B0-4FC7-B9CD-08F5AC147BF2}"/>
            </c:ext>
          </c:extLst>
        </c:ser>
        <c:ser>
          <c:idx val="3"/>
          <c:order val="2"/>
          <c:tx>
            <c:strRef>
              <c:f>'E-Gilts'!$I$1</c:f>
              <c:strCache>
                <c:ptCount val="1"/>
                <c:pt idx="0">
                  <c:v>Gilts</c:v>
                </c:pt>
              </c:strCache>
            </c:strRef>
          </c:tx>
          <c:spPr>
            <a:ln w="28575" cap="rnd">
              <a:solidFill>
                <a:schemeClr val="accent4"/>
              </a:solidFill>
              <a:round/>
            </a:ln>
            <a:effectLst/>
          </c:spPr>
          <c:marker>
            <c:symbol val="none"/>
          </c:marker>
          <c:xVal>
            <c:numRef>
              <c:f>[0]!GiltsBW2</c:f>
              <c:numCache>
                <c:formatCode>0.00</c:formatCode>
                <c:ptCount val="135"/>
                <c:pt idx="0">
                  <c:v>6.0580105212632942</c:v>
                </c:pt>
                <c:pt idx="1">
                  <c:v>6.1475270980272505</c:v>
                </c:pt>
                <c:pt idx="2">
                  <c:v>6.2632284424575069</c:v>
                </c:pt>
                <c:pt idx="3">
                  <c:v>6.404491107704863</c:v>
                </c:pt>
                <c:pt idx="4">
                  <c:v>6.5706916469201255</c:v>
                </c:pt>
                <c:pt idx="5">
                  <c:v>6.7612066132540933</c:v>
                </c:pt>
                <c:pt idx="6">
                  <c:v>6.9754125598575705</c:v>
                </c:pt>
                <c:pt idx="7">
                  <c:v>7.2126860398813593</c:v>
                </c:pt>
                <c:pt idx="8">
                  <c:v>7.4724036064762611</c:v>
                </c:pt>
                <c:pt idx="9">
                  <c:v>7.7539418127930801</c:v>
                </c:pt>
                <c:pt idx="10">
                  <c:v>8.0566772119826169</c:v>
                </c:pt>
                <c:pt idx="11">
                  <c:v>8.3799863571956763</c:v>
                </c:pt>
                <c:pt idx="12">
                  <c:v>8.7232458015830598</c:v>
                </c:pt>
                <c:pt idx="13">
                  <c:v>9.0858320982955671</c:v>
                </c:pt>
                <c:pt idx="14">
                  <c:v>9.467121800484005</c:v>
                </c:pt>
                <c:pt idx="15">
                  <c:v>9.8664914612991694</c:v>
                </c:pt>
                <c:pt idx="16">
                  <c:v>10.283317633891869</c:v>
                </c:pt>
                <c:pt idx="17">
                  <c:v>10.716976871412903</c:v>
                </c:pt>
                <c:pt idx="18">
                  <c:v>11.166845727013076</c:v>
                </c:pt>
                <c:pt idx="19">
                  <c:v>11.632300753843188</c:v>
                </c:pt>
                <c:pt idx="20">
                  <c:v>12.112718505054042</c:v>
                </c:pt>
                <c:pt idx="21">
                  <c:v>12.607475533796443</c:v>
                </c:pt>
                <c:pt idx="22">
                  <c:v>13.113311002298257</c:v>
                </c:pt>
                <c:pt idx="23">
                  <c:v>13.630472975408233</c:v>
                </c:pt>
                <c:pt idx="24">
                  <c:v>14.159215072563184</c:v>
                </c:pt>
                <c:pt idx="25">
                  <c:v>14.69979659216451</c:v>
                </c:pt>
                <c:pt idx="26">
                  <c:v>15.252482638739773</c:v>
                </c:pt>
                <c:pt idx="27">
                  <c:v>15.817544252951569</c:v>
                </c:pt>
                <c:pt idx="28">
                  <c:v>16.395258544517571</c:v>
                </c:pt>
                <c:pt idx="29">
                  <c:v>16.985908828106837</c:v>
                </c:pt>
                <c:pt idx="30">
                  <c:v>17.589784762279088</c:v>
                </c:pt>
                <c:pt idx="31">
                  <c:v>18.207182491535068</c:v>
                </c:pt>
                <c:pt idx="32">
                  <c:v>18.838404791547614</c:v>
                </c:pt>
                <c:pt idx="33">
                  <c:v>19.483761217644759</c:v>
                </c:pt>
                <c:pt idx="34">
                  <c:v>20.14356825661757</c:v>
                </c:pt>
                <c:pt idx="35">
                  <c:v>20.818149481927207</c:v>
                </c:pt>
                <c:pt idx="36">
                  <c:v>21.507835712387397</c:v>
                </c:pt>
                <c:pt idx="37">
                  <c:v>22.212965174399994</c:v>
                </c:pt>
                <c:pt idx="38">
                  <c:v>22.93388366782332</c:v>
                </c:pt>
                <c:pt idx="39">
                  <c:v>23.670531862824131</c:v>
                </c:pt>
                <c:pt idx="40">
                  <c:v>24.402792160777569</c:v>
                </c:pt>
                <c:pt idx="41">
                  <c:v>25.14466831357106</c:v>
                </c:pt>
                <c:pt idx="42">
                  <c:v>25.896018768467133</c:v>
                </c:pt>
                <c:pt idx="43">
                  <c:v>26.656700581284369</c:v>
                </c:pt>
                <c:pt idx="44">
                  <c:v>27.426569496423074</c:v>
                </c:pt>
                <c:pt idx="45">
                  <c:v>28.205480026365038</c:v>
                </c:pt>
                <c:pt idx="46">
                  <c:v>28.993285530607938</c:v>
                </c:pt>
                <c:pt idx="47">
                  <c:v>29.789838293995057</c:v>
                </c:pt>
                <c:pt idx="48">
                  <c:v>30.594989604399938</c:v>
                </c:pt>
                <c:pt idx="49">
                  <c:v>31.40858982972696</c:v>
                </c:pt>
                <c:pt idx="50">
                  <c:v>32.230488494187775</c:v>
                </c:pt>
                <c:pt idx="51">
                  <c:v>33.06053435381525</c:v>
                </c:pt>
                <c:pt idx="52">
                  <c:v>33.898575471175953</c:v>
                </c:pt>
                <c:pt idx="53">
                  <c:v>34.744459289243714</c:v>
                </c:pt>
                <c:pt idx="54">
                  <c:v>35.598032704397355</c:v>
                </c:pt>
                <c:pt idx="55">
                  <c:v>36.459142138506365</c:v>
                </c:pt>
                <c:pt idx="56">
                  <c:v>37.327633610069732</c:v>
                </c:pt>
                <c:pt idx="57">
                  <c:v>38.203352804373694</c:v>
                </c:pt>
                <c:pt idx="58">
                  <c:v>39.086145142636056</c:v>
                </c:pt>
                <c:pt idx="59">
                  <c:v>39.975855850105006</c:v>
                </c:pt>
                <c:pt idx="60">
                  <c:v>40.872330023082661</c:v>
                </c:pt>
                <c:pt idx="61">
                  <c:v>41.775412694843993</c:v>
                </c:pt>
                <c:pt idx="62">
                  <c:v>42.684948900423898</c:v>
                </c:pt>
                <c:pt idx="63">
                  <c:v>43.600783740246122</c:v>
                </c:pt>
                <c:pt idx="64">
                  <c:v>44.522762442569473</c:v>
                </c:pt>
                <c:pt idx="65">
                  <c:v>45.450730424727986</c:v>
                </c:pt>
                <c:pt idx="66">
                  <c:v>46.38453335314346</c:v>
                </c:pt>
                <c:pt idx="67">
                  <c:v>47.32401720209009</c:v>
                </c:pt>
                <c:pt idx="68">
                  <c:v>48.269028311192855</c:v>
                </c:pt>
                <c:pt idx="69">
                  <c:v>49.219413441641819</c:v>
                </c:pt>
                <c:pt idx="70">
                  <c:v>50.17501983110769</c:v>
                </c:pt>
                <c:pt idx="71">
                  <c:v>51.135695247343797</c:v>
                </c:pt>
                <c:pt idx="72">
                  <c:v>52.101288040462279</c:v>
                </c:pt>
                <c:pt idx="73">
                  <c:v>53.071647193873702</c:v>
                </c:pt>
                <c:pt idx="74">
                  <c:v>54.046622373879799</c:v>
                </c:pt>
                <c:pt idx="75">
                  <c:v>55.026063977912465</c:v>
                </c:pt>
                <c:pt idx="76">
                  <c:v>56.009823181411136</c:v>
                </c:pt>
                <c:pt idx="77">
                  <c:v>56.997751983334716</c:v>
                </c:pt>
                <c:pt idx="78">
                  <c:v>57.989703250303229</c:v>
                </c:pt>
                <c:pt idx="79">
                  <c:v>58.985530759367705</c:v>
                </c:pt>
                <c:pt idx="80">
                  <c:v>59.985089239407003</c:v>
                </c:pt>
                <c:pt idx="81">
                  <c:v>60.988234411151886</c:v>
                </c:pt>
                <c:pt idx="82">
                  <c:v>61.994823025838571</c:v>
                </c:pt>
                <c:pt idx="83">
                  <c:v>63.00471290249385</c:v>
                </c:pt>
                <c:pt idx="84">
                  <c:v>64.017762963857209</c:v>
                </c:pt>
                <c:pt idx="85">
                  <c:v>65.033833270944115</c:v>
                </c:pt>
                <c:pt idx="86">
                  <c:v>66.052785056257775</c:v>
                </c:pt>
                <c:pt idx="87">
                  <c:v>67.074480755657333</c:v>
                </c:pt>
                <c:pt idx="88">
                  <c:v>68.098784038890287</c:v>
                </c:pt>
                <c:pt idx="89">
                  <c:v>69.125559838800044</c:v>
                </c:pt>
                <c:pt idx="90">
                  <c:v>70.154674379218918</c:v>
                </c:pt>
                <c:pt idx="91">
                  <c:v>71.185995201558171</c:v>
                </c:pt>
                <c:pt idx="92">
                  <c:v>72.219391190108453</c:v>
                </c:pt>
                <c:pt idx="93">
                  <c:v>73.254732596063974</c:v>
                </c:pt>
                <c:pt idx="94">
                  <c:v>74.2918910602842</c:v>
                </c:pt>
                <c:pt idx="95">
                  <c:v>75.330739634809746</c:v>
                </c:pt>
                <c:pt idx="96">
                  <c:v>76.371152803146828</c:v>
                </c:pt>
                <c:pt idx="97">
                  <c:v>77.413006499338422</c:v>
                </c:pt>
                <c:pt idx="98">
                  <c:v>78.45617812583842</c:v>
                </c:pt>
                <c:pt idx="99">
                  <c:v>79.500546570207504</c:v>
                </c:pt>
                <c:pt idx="100">
                  <c:v>80.545992220648898</c:v>
                </c:pt>
                <c:pt idx="101">
                  <c:v>81.592396980403407</c:v>
                </c:pt>
                <c:pt idx="102">
                  <c:v>82.639644281023266</c:v>
                </c:pt>
                <c:pt idx="103">
                  <c:v>83.687619094545013</c:v>
                </c:pt>
                <c:pt idx="104">
                  <c:v>84.736207944581707</c:v>
                </c:pt>
                <c:pt idx="105">
                  <c:v>85.785298916355799</c:v>
                </c:pt>
                <c:pt idx="106">
                  <c:v>86.834781665693612</c:v>
                </c:pt>
                <c:pt idx="107">
                  <c:v>87.884547427003326</c:v>
                </c:pt>
                <c:pt idx="108">
                  <c:v>88.934489020257985</c:v>
                </c:pt>
                <c:pt idx="109">
                  <c:v>89.984500857006054</c:v>
                </c:pt>
                <c:pt idx="110">
                  <c:v>91.0344789454319</c:v>
                </c:pt>
                <c:pt idx="111">
                  <c:v>92.084320894488059</c:v>
                </c:pt>
                <c:pt idx="112">
                  <c:v>93.133925917123079</c:v>
                </c:pt>
                <c:pt idx="113">
                  <c:v>94.183194832626526</c:v>
                </c:pt>
                <c:pt idx="114">
                  <c:v>95.23203006811525</c:v>
                </c:pt>
                <c:pt idx="115">
                  <c:v>96.280335659182683</c:v>
                </c:pt>
                <c:pt idx="116">
                  <c:v>97.32801724973497</c:v>
                </c:pt>
                <c:pt idx="117">
                  <c:v>98.374982091036756</c:v>
                </c:pt>
                <c:pt idx="118">
                  <c:v>99.421139039989129</c:v>
                </c:pt>
                <c:pt idx="119">
                  <c:v>100.46639855666318</c:v>
                </c:pt>
                <c:pt idx="120">
                  <c:v>101.51067270111163</c:v>
                </c:pt>
                <c:pt idx="121">
                  <c:v>102.55387512948163</c:v>
                </c:pt>
                <c:pt idx="122">
                  <c:v>103.59592108945067</c:v>
                </c:pt>
                <c:pt idx="123">
                  <c:v>104.63672741500888</c:v>
                </c:pt>
                <c:pt idx="124">
                  <c:v>105.67621252060964</c:v>
                </c:pt>
                <c:pt idx="125">
                  <c:v>106.71429639471022</c:v>
                </c:pt>
                <c:pt idx="126">
                  <c:v>107.75090059272532</c:v>
                </c:pt>
                <c:pt idx="127">
                  <c:v>108.78594822941444</c:v>
                </c:pt>
                <c:pt idx="128">
                  <c:v>109.81936397072496</c:v>
                </c:pt>
                <c:pt idx="129">
                  <c:v>110.85107402511181</c:v>
                </c:pt>
                <c:pt idx="130">
                  <c:v>111.8810061343554</c:v>
                </c:pt>
                <c:pt idx="131">
                  <c:v>112.90908956389777</c:v>
                </c:pt>
                <c:pt idx="132">
                  <c:v>113.93525509271778</c:v>
                </c:pt>
                <c:pt idx="133">
                  <c:v>114.95943500276545</c:v>
                </c:pt>
                <c:pt idx="134">
                  <c:v>115.9815630679752</c:v>
                </c:pt>
              </c:numCache>
            </c:numRef>
          </c:xVal>
          <c:yVal>
            <c:numRef>
              <c:f>[0]!GiltsFG2</c:f>
              <c:numCache>
                <c:formatCode>General</c:formatCode>
                <c:ptCount val="134"/>
                <c:pt idx="0">
                  <c:v>1.1226170324781388</c:v>
                </c:pt>
                <c:pt idx="1">
                  <c:v>1.1335162269682073</c:v>
                </c:pt>
                <c:pt idx="2">
                  <c:v>1.1444154214582969</c:v>
                </c:pt>
                <c:pt idx="3">
                  <c:v>1.1553146159483647</c:v>
                </c:pt>
                <c:pt idx="4">
                  <c:v>1.1771130049285334</c:v>
                </c:pt>
                <c:pt idx="5">
                  <c:v>1.1926239359569688</c:v>
                </c:pt>
                <c:pt idx="6">
                  <c:v>1.2082118648627664</c:v>
                </c:pt>
                <c:pt idx="7">
                  <c:v>1.2239685308473551</c:v>
                </c:pt>
                <c:pt idx="8">
                  <c:v>1.2399582551362989</c:v>
                </c:pt>
                <c:pt idx="9">
                  <c:v>1.2562294291164027</c:v>
                </c:pt>
                <c:pt idx="10">
                  <c:v>1.2728208231301508</c:v>
                </c:pt>
                <c:pt idx="11">
                  <c:v>1.289765261270865</c:v>
                </c:pt>
                <c:pt idx="12">
                  <c:v>1.3070918727746501</c:v>
                </c:pt>
                <c:pt idx="13">
                  <c:v>1.3248275349464416</c:v>
                </c:pt>
                <c:pt idx="14">
                  <c:v>1.34299783762842</c:v>
                </c:pt>
                <c:pt idx="15">
                  <c:v>1.3616277547958766</c:v>
                </c:pt>
                <c:pt idx="16">
                  <c:v>1.3807421319761526</c:v>
                </c:pt>
                <c:pt idx="17">
                  <c:v>1.4003660554893929</c:v>
                </c:pt>
                <c:pt idx="18">
                  <c:v>1.4205251449224676</c:v>
                </c:pt>
                <c:pt idx="19">
                  <c:v>1.4282531472328754</c:v>
                </c:pt>
                <c:pt idx="20">
                  <c:v>1.4373232102871576</c:v>
                </c:pt>
                <c:pt idx="21">
                  <c:v>1.4552031291025174</c:v>
                </c:pt>
                <c:pt idx="22">
                  <c:v>1.4716104274042321</c:v>
                </c:pt>
                <c:pt idx="23">
                  <c:v>1.4866010333312976</c:v>
                </c:pt>
                <c:pt idx="24">
                  <c:v>1.5002291315935434</c:v>
                </c:pt>
                <c:pt idx="25">
                  <c:v>1.5193234639767439</c:v>
                </c:pt>
                <c:pt idx="26">
                  <c:v>1.5368618076331808</c:v>
                </c:pt>
                <c:pt idx="27">
                  <c:v>1.5529031599289957</c:v>
                </c:pt>
                <c:pt idx="28">
                  <c:v>1.5675046803501234</c:v>
                </c:pt>
                <c:pt idx="29">
                  <c:v>1.5807217427070732</c:v>
                </c:pt>
                <c:pt idx="30">
                  <c:v>1.5926079859345812</c:v>
                </c:pt>
                <c:pt idx="31">
                  <c:v>1.603215363522736</c:v>
                </c:pt>
                <c:pt idx="32">
                  <c:v>1.6125941916148576</c:v>
                </c:pt>
                <c:pt idx="33">
                  <c:v>1.6245772711863371</c:v>
                </c:pt>
                <c:pt idx="34">
                  <c:v>1.6352619553205532</c:v>
                </c:pt>
                <c:pt idx="35">
                  <c:v>1.65374971503695</c:v>
                </c:pt>
                <c:pt idx="36">
                  <c:v>1.6706432848404646</c:v>
                </c:pt>
                <c:pt idx="37">
                  <c:v>1.6860036263584384</c:v>
                </c:pt>
                <c:pt idx="38">
                  <c:v>1.6891428821510732</c:v>
                </c:pt>
                <c:pt idx="39">
                  <c:v>1.7265746879650576</c:v>
                </c:pt>
                <c:pt idx="40">
                  <c:v>1.7494064849236597</c:v>
                </c:pt>
                <c:pt idx="41">
                  <c:v>1.7721275453847876</c:v>
                </c:pt>
                <c:pt idx="42">
                  <c:v>1.7947279632507784</c:v>
                </c:pt>
                <c:pt idx="43">
                  <c:v>1.8171983273564183</c:v>
                </c:pt>
                <c:pt idx="44">
                  <c:v>1.8395297198304357</c:v>
                </c:pt>
                <c:pt idx="45">
                  <c:v>1.8617137150073881</c:v>
                </c:pt>
                <c:pt idx="46">
                  <c:v>1.8837423786738501</c:v>
                </c:pt>
                <c:pt idx="47">
                  <c:v>1.9056082674623489</c:v>
                </c:pt>
                <c:pt idx="48">
                  <c:v>1.9273044282249521</c:v>
                </c:pt>
                <c:pt idx="49">
                  <c:v>1.9488243972440411</c:v>
                </c:pt>
                <c:pt idx="50">
                  <c:v>1.9701621991543974</c:v>
                </c:pt>
                <c:pt idx="51">
                  <c:v>1.9913123454701303</c:v>
                </c:pt>
                <c:pt idx="52">
                  <c:v>2.0122698326255914</c:v>
                </c:pt>
                <c:pt idx="53">
                  <c:v>2.033030139454457</c:v>
                </c:pt>
                <c:pt idx="54">
                  <c:v>2.0535892240463349</c:v>
                </c:pt>
                <c:pt idx="55">
                  <c:v>2.0739435199308844</c:v>
                </c:pt>
                <c:pt idx="56">
                  <c:v>2.0940899315541324</c:v>
                </c:pt>
                <c:pt idx="57">
                  <c:v>2.1140258290199005</c:v>
                </c:pt>
                <c:pt idx="58">
                  <c:v>2.1337490420817109</c:v>
                </c:pt>
                <c:pt idx="59">
                  <c:v>2.153257853378221</c:v>
                </c:pt>
                <c:pt idx="60">
                  <c:v>2.172550990914401</c:v>
                </c:pt>
                <c:pt idx="61">
                  <c:v>2.1916276197986133</c:v>
                </c:pt>
                <c:pt idx="62">
                  <c:v>2.210487333252237</c:v>
                </c:pt>
                <c:pt idx="63">
                  <c:v>2.2274948722572119</c:v>
                </c:pt>
                <c:pt idx="64">
                  <c:v>2.2402358187859148</c:v>
                </c:pt>
                <c:pt idx="65">
                  <c:v>2.2529240814291192</c:v>
                </c:pt>
                <c:pt idx="66">
                  <c:v>2.2655627336030042</c:v>
                </c:pt>
                <c:pt idx="67">
                  <c:v>2.2781548620653691</c:v>
                </c:pt>
                <c:pt idx="68">
                  <c:v>2.2907035629609123</c:v>
                </c:pt>
                <c:pt idx="69">
                  <c:v>2.3032119381443672</c:v>
                </c:pt>
                <c:pt idx="70">
                  <c:v>2.3156830917671076</c:v>
                </c:pt>
                <c:pt idx="71">
                  <c:v>2.3281201271073413</c:v>
                </c:pt>
                <c:pt idx="72">
                  <c:v>2.3405261436284523</c:v>
                </c:pt>
                <c:pt idx="73">
                  <c:v>2.3529042342533422</c:v>
                </c:pt>
                <c:pt idx="74">
                  <c:v>2.3652574828369186</c:v>
                </c:pt>
                <c:pt idx="75">
                  <c:v>2.3775889618298587</c:v>
                </c:pt>
                <c:pt idx="76">
                  <c:v>2.3899017301164216</c:v>
                </c:pt>
                <c:pt idx="77">
                  <c:v>2.4021988310209483</c:v>
                </c:pt>
                <c:pt idx="78">
                  <c:v>2.414483290468755</c:v>
                </c:pt>
                <c:pt idx="79">
                  <c:v>2.426758115294898</c:v>
                </c:pt>
                <c:pt idx="80">
                  <c:v>2.4390262916913392</c:v>
                </c:pt>
                <c:pt idx="81">
                  <c:v>2.4512907837833633</c:v>
                </c:pt>
                <c:pt idx="82">
                  <c:v>2.4635545323305745</c:v>
                </c:pt>
                <c:pt idx="83">
                  <c:v>2.4758204535406265</c:v>
                </c:pt>
                <c:pt idx="84">
                  <c:v>2.4880914379949082</c:v>
                </c:pt>
                <c:pt idx="85">
                  <c:v>2.5003703496750163</c:v>
                </c:pt>
                <c:pt idx="86">
                  <c:v>2.5126600250854461</c:v>
                </c:pt>
                <c:pt idx="87">
                  <c:v>2.5249632724698241</c:v>
                </c:pt>
                <c:pt idx="88">
                  <c:v>2.537282871110444</c:v>
                </c:pt>
                <c:pt idx="89">
                  <c:v>2.5496215707099301</c:v>
                </c:pt>
                <c:pt idx="90">
                  <c:v>2.5619820908500133</c:v>
                </c:pt>
                <c:pt idx="91">
                  <c:v>2.5743671205202303</c:v>
                </c:pt>
                <c:pt idx="92">
                  <c:v>2.5867793177151883</c:v>
                </c:pt>
                <c:pt idx="93">
                  <c:v>2.599221309096801</c:v>
                </c:pt>
                <c:pt idx="94">
                  <c:v>2.6116956897132844</c:v>
                </c:pt>
                <c:pt idx="95">
                  <c:v>2.6242050227779901</c:v>
                </c:pt>
                <c:pt idx="96">
                  <c:v>2.636751839497967</c:v>
                </c:pt>
                <c:pt idx="97">
                  <c:v>2.6493386389546614</c:v>
                </c:pt>
                <c:pt idx="98">
                  <c:v>2.6619678880295417</c:v>
                </c:pt>
                <c:pt idx="99">
                  <c:v>2.6746420213742028</c:v>
                </c:pt>
                <c:pt idx="100">
                  <c:v>2.6873634414212542</c:v>
                </c:pt>
                <c:pt idx="101">
                  <c:v>2.7001345184331584</c:v>
                </c:pt>
                <c:pt idx="102">
                  <c:v>2.7129575905869423</c:v>
                </c:pt>
                <c:pt idx="103">
                  <c:v>2.7258349640928121</c:v>
                </c:pt>
                <c:pt idx="104">
                  <c:v>2.7387689133428399</c:v>
                </c:pt>
                <c:pt idx="105">
                  <c:v>2.751761681089397</c:v>
                </c:pt>
                <c:pt idx="106">
                  <c:v>2.7648154786498971</c:v>
                </c:pt>
                <c:pt idx="107">
                  <c:v>2.7779324861371895</c:v>
                </c:pt>
                <c:pt idx="108">
                  <c:v>2.7911148527123646</c:v>
                </c:pt>
                <c:pt idx="109">
                  <c:v>2.8043646968583289</c:v>
                </c:pt>
                <c:pt idx="110">
                  <c:v>2.8176841066751015</c:v>
                </c:pt>
                <c:pt idx="111">
                  <c:v>2.8310751401901446</c:v>
                </c:pt>
                <c:pt idx="112">
                  <c:v>2.8445398256881824</c:v>
                </c:pt>
                <c:pt idx="113">
                  <c:v>2.8580801620532421</c:v>
                </c:pt>
                <c:pt idx="114">
                  <c:v>2.8716981191270978</c:v>
                </c:pt>
                <c:pt idx="115">
                  <c:v>2.8853956380780681</c:v>
                </c:pt>
                <c:pt idx="116">
                  <c:v>2.8991746317814626</c:v>
                </c:pt>
                <c:pt idx="117">
                  <c:v>2.9130369852110749</c:v>
                </c:pt>
                <c:pt idx="118">
                  <c:v>2.9269845558381333</c:v>
                </c:pt>
                <c:pt idx="119">
                  <c:v>2.9410191740390772</c:v>
                </c:pt>
                <c:pt idx="120">
                  <c:v>2.9551426435091437</c:v>
                </c:pt>
                <c:pt idx="121">
                  <c:v>2.9693567416837809</c:v>
                </c:pt>
                <c:pt idx="122">
                  <c:v>2.9836632201630002</c:v>
                </c:pt>
                <c:pt idx="123">
                  <c:v>2.9980638051405086</c:v>
                </c:pt>
                <c:pt idx="124">
                  <c:v>3.0125601978380878</c:v>
                </c:pt>
                <c:pt idx="125">
                  <c:v>3.0271540749396162</c:v>
                </c:pt>
                <c:pt idx="126">
                  <c:v>3.0418470890292197</c:v>
                </c:pt>
                <c:pt idx="127">
                  <c:v>3.0566408690302409</c:v>
                </c:pt>
                <c:pt idx="128">
                  <c:v>3.0715370206450987</c:v>
                </c:pt>
                <c:pt idx="129">
                  <c:v>3.0865371267941883</c:v>
                </c:pt>
                <c:pt idx="130">
                  <c:v>3.1016427480559448</c:v>
                </c:pt>
                <c:pt idx="131">
                  <c:v>3.1168554231050729</c:v>
                </c:pt>
                <c:pt idx="132">
                  <c:v>3.1321766691498918</c:v>
                </c:pt>
                <c:pt idx="133">
                  <c:v>3.1476079823670946</c:v>
                </c:pt>
              </c:numCache>
            </c:numRef>
          </c:yVal>
          <c:smooth val="1"/>
          <c:extLst>
            <c:ext xmlns:c16="http://schemas.microsoft.com/office/drawing/2014/chart" uri="{C3380CC4-5D6E-409C-BE32-E72D297353CC}">
              <c16:uniqueId val="{00000002-C4B0-4FC7-B9CD-08F5AC147BF2}"/>
            </c:ext>
          </c:extLst>
        </c:ser>
        <c:dLbls>
          <c:showLegendKey val="0"/>
          <c:showVal val="0"/>
          <c:showCatName val="0"/>
          <c:showSerName val="0"/>
          <c:showPercent val="0"/>
          <c:showBubbleSize val="0"/>
        </c:dLbls>
        <c:axId val="323398704"/>
        <c:axId val="323399032"/>
      </c:scatterChart>
      <c:valAx>
        <c:axId val="323398704"/>
        <c:scaling>
          <c:orientation val="minMax"/>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Body weight, kg</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9032"/>
        <c:crosses val="autoZero"/>
        <c:crossBetween val="midCat"/>
      </c:valAx>
      <c:valAx>
        <c:axId val="323399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F/G</a:t>
                </a:r>
              </a:p>
            </c:rich>
          </c:tx>
          <c:layout>
            <c:manualLayout>
              <c:xMode val="edge"/>
              <c:yMode val="edge"/>
              <c:x val="2.3536334215945864E-3"/>
              <c:y val="0.43792768917251079"/>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8704"/>
        <c:crosses val="autoZero"/>
        <c:crossBetween val="midCat"/>
      </c:valAx>
      <c:spPr>
        <a:noFill/>
        <a:ln>
          <a:noFill/>
        </a:ln>
        <a:effectLst/>
      </c:spPr>
    </c:plotArea>
    <c:legend>
      <c:legendPos val="t"/>
      <c:layout>
        <c:manualLayout>
          <c:xMode val="edge"/>
          <c:yMode val="edge"/>
          <c:x val="0.30100566525440559"/>
          <c:y val="6.1305434670611565E-2"/>
          <c:w val="0.39798875537733425"/>
          <c:h val="4.6413479906749204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1"/>
          <c:order val="0"/>
          <c:tx>
            <c:strRef>
              <c:f>Nursery!$B$1</c:f>
              <c:strCache>
                <c:ptCount val="1"/>
                <c:pt idx="0">
                  <c:v>Weight, kg</c:v>
                </c:pt>
              </c:strCache>
            </c:strRef>
          </c:tx>
          <c:marker>
            <c:symbol val="none"/>
          </c:marker>
          <c:xVal>
            <c:numRef>
              <c:f>Nursery!$A$2:$A$184</c:f>
              <c:numCache>
                <c:formatCode>General</c:formatCode>
                <c:ptCount val="18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pt idx="73">
                  <c:v>91</c:v>
                </c:pt>
                <c:pt idx="74">
                  <c:v>92</c:v>
                </c:pt>
                <c:pt idx="75">
                  <c:v>93</c:v>
                </c:pt>
                <c:pt idx="76">
                  <c:v>94</c:v>
                </c:pt>
                <c:pt idx="77">
                  <c:v>95</c:v>
                </c:pt>
                <c:pt idx="78">
                  <c:v>96</c:v>
                </c:pt>
                <c:pt idx="79">
                  <c:v>97</c:v>
                </c:pt>
                <c:pt idx="80">
                  <c:v>98</c:v>
                </c:pt>
                <c:pt idx="81">
                  <c:v>99</c:v>
                </c:pt>
                <c:pt idx="82">
                  <c:v>100</c:v>
                </c:pt>
                <c:pt idx="83">
                  <c:v>101</c:v>
                </c:pt>
                <c:pt idx="84">
                  <c:v>102</c:v>
                </c:pt>
                <c:pt idx="85">
                  <c:v>103</c:v>
                </c:pt>
                <c:pt idx="86">
                  <c:v>104</c:v>
                </c:pt>
                <c:pt idx="87">
                  <c:v>105</c:v>
                </c:pt>
                <c:pt idx="88">
                  <c:v>106</c:v>
                </c:pt>
                <c:pt idx="89">
                  <c:v>107</c:v>
                </c:pt>
                <c:pt idx="90">
                  <c:v>108</c:v>
                </c:pt>
                <c:pt idx="91">
                  <c:v>109</c:v>
                </c:pt>
                <c:pt idx="92">
                  <c:v>110</c:v>
                </c:pt>
                <c:pt idx="93">
                  <c:v>111</c:v>
                </c:pt>
                <c:pt idx="94">
                  <c:v>112</c:v>
                </c:pt>
                <c:pt idx="95">
                  <c:v>113</c:v>
                </c:pt>
                <c:pt idx="96">
                  <c:v>114</c:v>
                </c:pt>
                <c:pt idx="97">
                  <c:v>115</c:v>
                </c:pt>
                <c:pt idx="98">
                  <c:v>116</c:v>
                </c:pt>
                <c:pt idx="99">
                  <c:v>117</c:v>
                </c:pt>
                <c:pt idx="100">
                  <c:v>118</c:v>
                </c:pt>
                <c:pt idx="101">
                  <c:v>119</c:v>
                </c:pt>
                <c:pt idx="102">
                  <c:v>120</c:v>
                </c:pt>
                <c:pt idx="103">
                  <c:v>121</c:v>
                </c:pt>
                <c:pt idx="104">
                  <c:v>122</c:v>
                </c:pt>
                <c:pt idx="105">
                  <c:v>123</c:v>
                </c:pt>
                <c:pt idx="106">
                  <c:v>124</c:v>
                </c:pt>
                <c:pt idx="107">
                  <c:v>125</c:v>
                </c:pt>
                <c:pt idx="108">
                  <c:v>126</c:v>
                </c:pt>
                <c:pt idx="109">
                  <c:v>127</c:v>
                </c:pt>
                <c:pt idx="110">
                  <c:v>128</c:v>
                </c:pt>
                <c:pt idx="111">
                  <c:v>129</c:v>
                </c:pt>
                <c:pt idx="112">
                  <c:v>130</c:v>
                </c:pt>
                <c:pt idx="113">
                  <c:v>131</c:v>
                </c:pt>
                <c:pt idx="114">
                  <c:v>132</c:v>
                </c:pt>
                <c:pt idx="115">
                  <c:v>133</c:v>
                </c:pt>
                <c:pt idx="116">
                  <c:v>134</c:v>
                </c:pt>
                <c:pt idx="117">
                  <c:v>135</c:v>
                </c:pt>
                <c:pt idx="118">
                  <c:v>136</c:v>
                </c:pt>
                <c:pt idx="119">
                  <c:v>137</c:v>
                </c:pt>
                <c:pt idx="120">
                  <c:v>138</c:v>
                </c:pt>
                <c:pt idx="121">
                  <c:v>139</c:v>
                </c:pt>
                <c:pt idx="122">
                  <c:v>140</c:v>
                </c:pt>
                <c:pt idx="123">
                  <c:v>141</c:v>
                </c:pt>
                <c:pt idx="124">
                  <c:v>142</c:v>
                </c:pt>
                <c:pt idx="125">
                  <c:v>143</c:v>
                </c:pt>
                <c:pt idx="126">
                  <c:v>144</c:v>
                </c:pt>
                <c:pt idx="127">
                  <c:v>145</c:v>
                </c:pt>
                <c:pt idx="128">
                  <c:v>146</c:v>
                </c:pt>
                <c:pt idx="129">
                  <c:v>147</c:v>
                </c:pt>
                <c:pt idx="130">
                  <c:v>148</c:v>
                </c:pt>
                <c:pt idx="131">
                  <c:v>149</c:v>
                </c:pt>
                <c:pt idx="132">
                  <c:v>150</c:v>
                </c:pt>
                <c:pt idx="133">
                  <c:v>151</c:v>
                </c:pt>
                <c:pt idx="134">
                  <c:v>152</c:v>
                </c:pt>
                <c:pt idx="135">
                  <c:v>153</c:v>
                </c:pt>
                <c:pt idx="136">
                  <c:v>154</c:v>
                </c:pt>
                <c:pt idx="137">
                  <c:v>155</c:v>
                </c:pt>
                <c:pt idx="138">
                  <c:v>156</c:v>
                </c:pt>
                <c:pt idx="139">
                  <c:v>157</c:v>
                </c:pt>
                <c:pt idx="140">
                  <c:v>158</c:v>
                </c:pt>
                <c:pt idx="141">
                  <c:v>159</c:v>
                </c:pt>
                <c:pt idx="142">
                  <c:v>160</c:v>
                </c:pt>
                <c:pt idx="143">
                  <c:v>161</c:v>
                </c:pt>
                <c:pt idx="144">
                  <c:v>162</c:v>
                </c:pt>
                <c:pt idx="145">
                  <c:v>163</c:v>
                </c:pt>
                <c:pt idx="146">
                  <c:v>164</c:v>
                </c:pt>
                <c:pt idx="147">
                  <c:v>165</c:v>
                </c:pt>
                <c:pt idx="148">
                  <c:v>166</c:v>
                </c:pt>
                <c:pt idx="149">
                  <c:v>167</c:v>
                </c:pt>
                <c:pt idx="150">
                  <c:v>168</c:v>
                </c:pt>
                <c:pt idx="151">
                  <c:v>169</c:v>
                </c:pt>
                <c:pt idx="152">
                  <c:v>170</c:v>
                </c:pt>
                <c:pt idx="153">
                  <c:v>171</c:v>
                </c:pt>
                <c:pt idx="154">
                  <c:v>172</c:v>
                </c:pt>
                <c:pt idx="155">
                  <c:v>173</c:v>
                </c:pt>
                <c:pt idx="156">
                  <c:v>174</c:v>
                </c:pt>
                <c:pt idx="157">
                  <c:v>175</c:v>
                </c:pt>
                <c:pt idx="158">
                  <c:v>176</c:v>
                </c:pt>
                <c:pt idx="159">
                  <c:v>177</c:v>
                </c:pt>
                <c:pt idx="160">
                  <c:v>178</c:v>
                </c:pt>
                <c:pt idx="161">
                  <c:v>179</c:v>
                </c:pt>
                <c:pt idx="162">
                  <c:v>180</c:v>
                </c:pt>
                <c:pt idx="163">
                  <c:v>181</c:v>
                </c:pt>
                <c:pt idx="164">
                  <c:v>182</c:v>
                </c:pt>
                <c:pt idx="165">
                  <c:v>183</c:v>
                </c:pt>
                <c:pt idx="166">
                  <c:v>184</c:v>
                </c:pt>
                <c:pt idx="167">
                  <c:v>185</c:v>
                </c:pt>
                <c:pt idx="168">
                  <c:v>186</c:v>
                </c:pt>
                <c:pt idx="169">
                  <c:v>187</c:v>
                </c:pt>
                <c:pt idx="170">
                  <c:v>188</c:v>
                </c:pt>
                <c:pt idx="171">
                  <c:v>189</c:v>
                </c:pt>
                <c:pt idx="172">
                  <c:v>190</c:v>
                </c:pt>
                <c:pt idx="173">
                  <c:v>191</c:v>
                </c:pt>
                <c:pt idx="174">
                  <c:v>192</c:v>
                </c:pt>
                <c:pt idx="175">
                  <c:v>193</c:v>
                </c:pt>
                <c:pt idx="176">
                  <c:v>194</c:v>
                </c:pt>
                <c:pt idx="177">
                  <c:v>195</c:v>
                </c:pt>
                <c:pt idx="178">
                  <c:v>196</c:v>
                </c:pt>
                <c:pt idx="179">
                  <c:v>197</c:v>
                </c:pt>
                <c:pt idx="180">
                  <c:v>198</c:v>
                </c:pt>
                <c:pt idx="181">
                  <c:v>199</c:v>
                </c:pt>
                <c:pt idx="182">
                  <c:v>200</c:v>
                </c:pt>
              </c:numCache>
            </c:numRef>
          </c:xVal>
          <c:yVal>
            <c:numRef>
              <c:f>Nursery!$B$2:$B$184</c:f>
              <c:numCache>
                <c:formatCode>0.00</c:formatCode>
                <c:ptCount val="183"/>
                <c:pt idx="0">
                  <c:v>5.65</c:v>
                </c:pt>
                <c:pt idx="1">
                  <c:v>5.6560000000000006</c:v>
                </c:pt>
                <c:pt idx="2">
                  <c:v>5.6871038663317339</c:v>
                </c:pt>
                <c:pt idx="3">
                  <c:v>5.7418524808334492</c:v>
                </c:pt>
                <c:pt idx="4">
                  <c:v>5.8200064682290211</c:v>
                </c:pt>
                <c:pt idx="5">
                  <c:v>5.9210215175209182</c:v>
                </c:pt>
                <c:pt idx="6">
                  <c:v>6.0443533177116082</c:v>
                </c:pt>
                <c:pt idx="7">
                  <c:v>6.1894575578035607</c:v>
                </c:pt>
                <c:pt idx="8">
                  <c:v>6.3557899267992433</c:v>
                </c:pt>
                <c:pt idx="9">
                  <c:v>6.5428061137011246</c:v>
                </c:pt>
                <c:pt idx="10">
                  <c:v>6.7499618075116734</c:v>
                </c:pt>
                <c:pt idx="11">
                  <c:v>6.9767126972333582</c:v>
                </c:pt>
                <c:pt idx="12">
                  <c:v>7.2225144718686467</c:v>
                </c:pt>
                <c:pt idx="13">
                  <c:v>7.4868228204200085</c:v>
                </c:pt>
                <c:pt idx="14">
                  <c:v>7.7690934318899121</c:v>
                </c:pt>
                <c:pt idx="15">
                  <c:v>8.0687819952808244</c:v>
                </c:pt>
                <c:pt idx="16">
                  <c:v>8.3853441995952149</c:v>
                </c:pt>
                <c:pt idx="17">
                  <c:v>8.7182357338355523</c:v>
                </c:pt>
                <c:pt idx="18">
                  <c:v>9.0669122870043033</c:v>
                </c:pt>
                <c:pt idx="19">
                  <c:v>9.4308295481039384</c:v>
                </c:pt>
                <c:pt idx="20">
                  <c:v>9.8094432061369261</c:v>
                </c:pt>
                <c:pt idx="21">
                  <c:v>10.202208950105733</c:v>
                </c:pt>
                <c:pt idx="22">
                  <c:v>10.608582469012829</c:v>
                </c:pt>
                <c:pt idx="23">
                  <c:v>11.028019451860683</c:v>
                </c:pt>
                <c:pt idx="24">
                  <c:v>11.459975587651762</c:v>
                </c:pt>
                <c:pt idx="25">
                  <c:v>11.90160394586934</c:v>
                </c:pt>
                <c:pt idx="26">
                  <c:v>12.353121103797351</c:v>
                </c:pt>
                <c:pt idx="27">
                  <c:v>12.814748488248393</c:v>
                </c:pt>
                <c:pt idx="28">
                  <c:v>13.286712484152808</c:v>
                </c:pt>
                <c:pt idx="29">
                  <c:v>13.769244545579264</c:v>
                </c:pt>
                <c:pt idx="30">
                  <c:v>14.262581309241252</c:v>
                </c:pt>
                <c:pt idx="31">
                  <c:v>14.766964710545206</c:v>
                </c:pt>
                <c:pt idx="32">
                  <c:v>15.282642102237125</c:v>
                </c:pt>
                <c:pt idx="33">
                  <c:v>15.809866375705884</c:v>
                </c:pt>
                <c:pt idx="34">
                  <c:v>16.348896085002753</c:v>
                </c:pt>
                <c:pt idx="35">
                  <c:v>16.899995573637892</c:v>
                </c:pt>
                <c:pt idx="36">
                  <c:v>17.463435104216057</c:v>
                </c:pt>
                <c:pt idx="37">
                  <c:v>18.03949099097505</c:v>
                </c:pt>
                <c:pt idx="38">
                  <c:v>18.628445735291937</c:v>
                </c:pt>
                <c:pt idx="39">
                  <c:v>19.230588164223473</c:v>
                </c:pt>
                <c:pt idx="40">
                  <c:v>19.846213572148681</c:v>
                </c:pt>
                <c:pt idx="41">
                  <c:v>20.475623865583042</c:v>
                </c:pt>
                <c:pt idx="42">
                  <c:v>21.118767245594924</c:v>
                </c:pt>
                <c:pt idx="43">
                  <c:v>21.776680221739266</c:v>
                </c:pt>
                <c:pt idx="44">
                  <c:v>22.443890449812482</c:v>
                </c:pt>
                <c:pt idx="45">
                  <c:v>23.120270571214487</c:v>
                </c:pt>
                <c:pt idx="46">
                  <c:v>23.80569124315759</c:v>
                </c:pt>
                <c:pt idx="47">
                  <c:v>24.500021227874193</c:v>
                </c:pt>
                <c:pt idx="48">
                  <c:v>25.203127481653272</c:v>
                </c:pt>
                <c:pt idx="49">
                  <c:v>25.914875243654286</c:v>
                </c:pt>
                <c:pt idx="50">
                  <c:v>26.635128124445604</c:v>
                </c:pt>
                <c:pt idx="51">
                  <c:v>27.363748194213375</c:v>
                </c:pt>
                <c:pt idx="52">
                  <c:v>28.100596070586015</c:v>
                </c:pt>
                <c:pt idx="53">
                  <c:v>28.845531006018703</c:v>
                </c:pt>
                <c:pt idx="54">
                  <c:v>29.598410974682274</c:v>
                </c:pt>
                <c:pt idx="55">
                  <c:v>30.359092758800429</c:v>
                </c:pt>
                <c:pt idx="56">
                  <c:v>31.127432034379694</c:v>
                </c:pt>
                <c:pt idx="57">
                  <c:v>31.903283456276839</c:v>
                </c:pt>
                <c:pt idx="58">
                  <c:v>32.686500742548724</c:v>
                </c:pt>
                <c:pt idx="59">
                  <c:v>33.476936758030718</c:v>
                </c:pt>
                <c:pt idx="60">
                  <c:v>34.274443597090482</c:v>
                </c:pt>
                <c:pt idx="61">
                  <c:v>35.078872665504804</c:v>
                </c:pt>
                <c:pt idx="62">
                  <c:v>35.890074761408812</c:v>
                </c:pt>
                <c:pt idx="63">
                  <c:v>36.707900155267652</c:v>
                </c:pt>
                <c:pt idx="64">
                  <c:v>37.532198668822481</c:v>
                </c:pt>
                <c:pt idx="65">
                  <c:v>38.362819752964327</c:v>
                </c:pt>
                <c:pt idx="66">
                  <c:v>39.199612564490117</c:v>
                </c:pt>
                <c:pt idx="67">
                  <c:v>40.04242604169827</c:v>
                </c:pt>
                <c:pt idx="68">
                  <c:v>40.89110897878146</c:v>
                </c:pt>
                <c:pt idx="69">
                  <c:v>41.745510098977427</c:v>
                </c:pt>
                <c:pt idx="70">
                  <c:v>42.605478126439635</c:v>
                </c:pt>
                <c:pt idx="71">
                  <c:v>43.470861856791842</c:v>
                </c:pt>
                <c:pt idx="72">
                  <c:v>44.341510226332886</c:v>
                </c:pt>
                <c:pt idx="73">
                  <c:v>45.21727237985958</c:v>
                </c:pt>
                <c:pt idx="74">
                  <c:v>46.097997737077939</c:v>
                </c:pt>
                <c:pt idx="75">
                  <c:v>46.983536057575122</c:v>
                </c:pt>
                <c:pt idx="76">
                  <c:v>47.873737504326087</c:v>
                </c:pt>
                <c:pt idx="77">
                  <c:v>48.768452705711795</c:v>
                </c:pt>
                <c:pt idx="78">
                  <c:v>49.667532816027069</c:v>
                </c:pt>
                <c:pt idx="79">
                  <c:v>50.570829574459083</c:v>
                </c:pt>
                <c:pt idx="80">
                  <c:v>51.478195362518946</c:v>
                </c:pt>
                <c:pt idx="81">
                  <c:v>52.389483259911238</c:v>
                </c:pt>
                <c:pt idx="82">
                  <c:v>53.304547098828337</c:v>
                </c:pt>
                <c:pt idx="83">
                  <c:v>54.223241516658341</c:v>
                </c:pt>
                <c:pt idx="84">
                  <c:v>55.145422007097707</c:v>
                </c:pt>
                <c:pt idx="85">
                  <c:v>56.070944969660843</c:v>
                </c:pt>
                <c:pt idx="86">
                  <c:v>56.999667757582202</c:v>
                </c:pt>
                <c:pt idx="87">
                  <c:v>57.931448724106971</c:v>
                </c:pt>
                <c:pt idx="88">
                  <c:v>58.866147267169168</c:v>
                </c:pt>
                <c:pt idx="89">
                  <c:v>59.803623872457344</c:v>
                </c:pt>
                <c:pt idx="90">
                  <c:v>60.743740154870281</c:v>
                </c:pt>
                <c:pt idx="91">
                  <c:v>61.686358898366166</c:v>
                </c:pt>
                <c:pt idx="92">
                  <c:v>62.631344094211038</c:v>
                </c:pt>
                <c:pt idx="93">
                  <c:v>63.578560977633487</c:v>
                </c:pt>
                <c:pt idx="94">
                  <c:v>64.527876062894478</c:v>
                </c:pt>
                <c:pt idx="95">
                  <c:v>65.479157176782138</c:v>
                </c:pt>
                <c:pt idx="96">
                  <c:v>66.432273490543707</c:v>
                </c:pt>
                <c:pt idx="97">
                  <c:v>67.387095550267077</c:v>
                </c:pt>
                <c:pt idx="98">
                  <c:v>68.343495305726933</c:v>
                </c:pt>
                <c:pt idx="99">
                  <c:v>69.301346137710397</c:v>
                </c:pt>
                <c:pt idx="100">
                  <c:v>70.260522883839826</c:v>
                </c:pt>
                <c:pt idx="101">
                  <c:v>71.220901862910239</c:v>
                </c:pt>
                <c:pt idx="102">
                  <c:v>72.18236089776066</c:v>
                </c:pt>
                <c:pt idx="103">
                  <c:v>73.144779336699344</c:v>
                </c:pt>
                <c:pt idx="104">
                  <c:v>74.108038073504417</c:v>
                </c:pt>
                <c:pt idx="105">
                  <c:v>75.07201956602141</c:v>
                </c:pt>
                <c:pt idx="106">
                  <c:v>76.036607853380929</c:v>
                </c:pt>
                <c:pt idx="107">
                  <c:v>77.001688571859901</c:v>
                </c:pt>
                <c:pt idx="108">
                  <c:v>77.967148969410999</c:v>
                </c:pt>
                <c:pt idx="109">
                  <c:v>78.932877918884913</c:v>
                </c:pt>
                <c:pt idx="110">
                  <c:v>79.89876592997183</c:v>
                </c:pt>
                <c:pt idx="111">
                  <c:v>80.864705159887507</c:v>
                </c:pt>
                <c:pt idx="112">
                  <c:v>81.830589422831395</c:v>
                </c:pt>
                <c:pt idx="113">
                  <c:v>82.796314198243707</c:v>
                </c:pt>
                <c:pt idx="114">
                  <c:v>83.761776637889014</c:v>
                </c:pt>
                <c:pt idx="115">
                  <c:v>84.72687557179438</c:v>
                </c:pt>
                <c:pt idx="116">
                  <c:v>85.691511513070409</c:v>
                </c:pt>
                <c:pt idx="117">
                  <c:v>86.655586661643497</c:v>
                </c:pt>
                <c:pt idx="118">
                  <c:v>87.619004906928069</c:v>
                </c:pt>
                <c:pt idx="119">
                  <c:v>88.581671829467837</c:v>
                </c:pt>
                <c:pt idx="120">
                  <c:v>89.543494701574872</c:v>
                </c:pt>
                <c:pt idx="121">
                  <c:v>90.504382486995482</c:v>
                </c:pt>
                <c:pt idx="122">
                  <c:v>91.464245839632298</c:v>
                </c:pt>
                <c:pt idx="123">
                  <c:v>92.422997101351399</c:v>
                </c:pt>
                <c:pt idx="124">
                  <c:v>93.380550298903586</c:v>
                </c:pt>
                <c:pt idx="125">
                  <c:v>94.336821139988658</c:v>
                </c:pt>
                <c:pt idx="126">
                  <c:v>95.291727008491875</c:v>
                </c:pt>
                <c:pt idx="127">
                  <c:v>96.245186958920812</c:v>
                </c:pt>
                <c:pt idx="128">
                  <c:v>97.197121710071457</c:v>
                </c:pt>
                <c:pt idx="129">
                  <c:v>98.147453637951756</c:v>
                </c:pt>
                <c:pt idx="130">
                  <c:v>99.096106767990889</c:v>
                </c:pt>
                <c:pt idx="131">
                  <c:v>100.0430067665614</c:v>
                </c:pt>
                <c:pt idx="132">
                  <c:v>100.98808093184263</c:v>
                </c:pt>
                <c:pt idx="133">
                  <c:v>101.931258184052</c:v>
                </c:pt>
                <c:pt idx="134">
                  <c:v>102.87246905507105</c:v>
                </c:pt>
                <c:pt idx="135">
                  <c:v>103.81164567749326</c:v>
                </c:pt>
                <c:pt idx="136">
                  <c:v>104.74872177311906</c:v>
                </c:pt>
                <c:pt idx="137">
                  <c:v>105.68363264092434</c:v>
                </c:pt>
                <c:pt idx="138">
                  <c:v>106.61631514452745</c:v>
                </c:pt>
                <c:pt idx="139">
                  <c:v>107.54670769917989</c:v>
                </c:pt>
                <c:pt idx="140">
                  <c:v>108.47475025830499</c:v>
                </c:pt>
                <c:pt idx="141">
                  <c:v>109.40038429960839</c:v>
                </c:pt>
                <c:pt idx="142">
                  <c:v>110.32355281078438</c:v>
                </c:pt>
                <c:pt idx="143">
                  <c:v>111.24420027484101</c:v>
                </c:pt>
                <c:pt idx="144">
                  <c:v>112.162272655066</c:v>
                </c:pt>
                <c:pt idx="145">
                  <c:v>113.07771737965686</c:v>
                </c:pt>
                <c:pt idx="146">
                  <c:v>113.99048332603523</c:v>
                </c:pt>
                <c:pt idx="147">
                  <c:v>114.90052080486808</c:v>
                </c:pt>
                <c:pt idx="148">
                  <c:v>115.80778154381539</c:v>
                </c:pt>
                <c:pt idx="149">
                  <c:v>116.71221867102484</c:v>
                </c:pt>
                <c:pt idx="150">
                  <c:v>117.61378669839311</c:v>
                </c:pt>
                <c:pt idx="151">
                  <c:v>118.5124415046127</c:v>
                </c:pt>
                <c:pt idx="152">
                  <c:v>119.40814031802313</c:v>
                </c:pt>
                <c:pt idx="153">
                  <c:v>120.3008416992844</c:v>
                </c:pt>
                <c:pt idx="154">
                  <c:v>121.19050552389018</c:v>
                </c:pt>
                <c:pt idx="155">
                  <c:v>122.077092964538</c:v>
                </c:pt>
                <c:pt idx="156">
                  <c:v>122.96056647337296</c:v>
                </c:pt>
                <c:pt idx="157">
                  <c:v>123.8408897641208</c:v>
                </c:pt>
                <c:pt idx="158">
                  <c:v>124.71802779412582</c:v>
                </c:pt>
                <c:pt idx="159">
                  <c:v>125.59194674630905</c:v>
                </c:pt>
                <c:pt idx="160">
                  <c:v>126.46261401106085</c:v>
                </c:pt>
                <c:pt idx="161">
                  <c:v>127.329998168082</c:v>
                </c:pt>
                <c:pt idx="162">
                  <c:v>128.19406896818703</c:v>
                </c:pt>
                <c:pt idx="163">
                  <c:v>129.05479731508245</c:v>
                </c:pt>
                <c:pt idx="164">
                  <c:v>129.91215524713317</c:v>
                </c:pt>
                <c:pt idx="165">
                  <c:v>130.76611591912854</c:v>
                </c:pt>
                <c:pt idx="166">
                  <c:v>131.61665358405969</c:v>
                </c:pt>
                <c:pt idx="167">
                  <c:v>132.46374357492016</c:v>
                </c:pt>
                <c:pt idx="168">
                  <c:v>133.30736228653979</c:v>
                </c:pt>
                <c:pt idx="169">
                  <c:v>134.14748715746208</c:v>
                </c:pt>
                <c:pt idx="170">
                  <c:v>134.984096651876</c:v>
                </c:pt>
                <c:pt idx="171">
                  <c:v>135.81717024161017</c:v>
                </c:pt>
                <c:pt idx="172">
                  <c:v>136.64668838819992</c:v>
                </c:pt>
                <c:pt idx="173">
                  <c:v>137.47263252503481</c:v>
                </c:pt>
                <c:pt idx="174">
                  <c:v>138.29498503959536</c:v>
                </c:pt>
                <c:pt idx="175">
                  <c:v>139.11372925578684</c:v>
                </c:pt>
                <c:pt idx="176">
                  <c:v>139.92884941637709</c:v>
                </c:pt>
                <c:pt idx="177">
                  <c:v>140.74033066554648</c:v>
                </c:pt>
                <c:pt idx="178">
                  <c:v>141.54815903155563</c:v>
                </c:pt>
                <c:pt idx="179">
                  <c:v>142.35232140953764</c:v>
                </c:pt>
                <c:pt idx="180">
                  <c:v>143.15280554442154</c:v>
                </c:pt>
                <c:pt idx="181">
                  <c:v>143.94960001399159</c:v>
                </c:pt>
                <c:pt idx="182">
                  <c:v>144.74269421208828</c:v>
                </c:pt>
              </c:numCache>
            </c:numRef>
          </c:yVal>
          <c:smooth val="1"/>
          <c:extLst>
            <c:ext xmlns:c16="http://schemas.microsoft.com/office/drawing/2014/chart" uri="{C3380CC4-5D6E-409C-BE32-E72D297353CC}">
              <c16:uniqueId val="{00000000-E0EE-46C1-8AC0-0172963D7ADD}"/>
            </c:ext>
          </c:extLst>
        </c:ser>
        <c:dLbls>
          <c:showLegendKey val="0"/>
          <c:showVal val="0"/>
          <c:showCatName val="0"/>
          <c:showSerName val="0"/>
          <c:showPercent val="0"/>
          <c:showBubbleSize val="0"/>
        </c:dLbls>
        <c:axId val="500089360"/>
        <c:axId val="500090344"/>
      </c:scatterChart>
      <c:valAx>
        <c:axId val="500089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90344"/>
        <c:crosses val="autoZero"/>
        <c:crossBetween val="midCat"/>
      </c:valAx>
      <c:valAx>
        <c:axId val="50009034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89360"/>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1"/>
          <c:order val="0"/>
          <c:tx>
            <c:strRef>
              <c:f>Nursery!$D$1</c:f>
              <c:strCache>
                <c:ptCount val="1"/>
                <c:pt idx="0">
                  <c:v>ADFI, kg</c:v>
                </c:pt>
              </c:strCache>
            </c:strRef>
          </c:tx>
          <c:marker>
            <c:symbol val="none"/>
          </c:marker>
          <c:xVal>
            <c:numRef>
              <c:f>Nursery!$B$2:$B$184</c:f>
              <c:numCache>
                <c:formatCode>0.00</c:formatCode>
                <c:ptCount val="183"/>
                <c:pt idx="0">
                  <c:v>5.65</c:v>
                </c:pt>
                <c:pt idx="1">
                  <c:v>5.6560000000000006</c:v>
                </c:pt>
                <c:pt idx="2">
                  <c:v>5.6871038663317339</c:v>
                </c:pt>
                <c:pt idx="3">
                  <c:v>5.7418524808334492</c:v>
                </c:pt>
                <c:pt idx="4">
                  <c:v>5.8200064682290211</c:v>
                </c:pt>
                <c:pt idx="5">
                  <c:v>5.9210215175209182</c:v>
                </c:pt>
                <c:pt idx="6">
                  <c:v>6.0443533177116082</c:v>
                </c:pt>
                <c:pt idx="7">
                  <c:v>6.1894575578035607</c:v>
                </c:pt>
                <c:pt idx="8">
                  <c:v>6.3557899267992433</c:v>
                </c:pt>
                <c:pt idx="9">
                  <c:v>6.5428061137011246</c:v>
                </c:pt>
                <c:pt idx="10">
                  <c:v>6.7499618075116734</c:v>
                </c:pt>
                <c:pt idx="11">
                  <c:v>6.9767126972333582</c:v>
                </c:pt>
                <c:pt idx="12">
                  <c:v>7.2225144718686467</c:v>
                </c:pt>
                <c:pt idx="13">
                  <c:v>7.4868228204200085</c:v>
                </c:pt>
                <c:pt idx="14">
                  <c:v>7.7690934318899121</c:v>
                </c:pt>
                <c:pt idx="15">
                  <c:v>8.0687819952808244</c:v>
                </c:pt>
                <c:pt idx="16">
                  <c:v>8.3853441995952149</c:v>
                </c:pt>
                <c:pt idx="17">
                  <c:v>8.7182357338355523</c:v>
                </c:pt>
                <c:pt idx="18">
                  <c:v>9.0669122870043033</c:v>
                </c:pt>
                <c:pt idx="19">
                  <c:v>9.4308295481039384</c:v>
                </c:pt>
                <c:pt idx="20">
                  <c:v>9.8094432061369261</c:v>
                </c:pt>
                <c:pt idx="21">
                  <c:v>10.202208950105733</c:v>
                </c:pt>
                <c:pt idx="22">
                  <c:v>10.608582469012829</c:v>
                </c:pt>
                <c:pt idx="23">
                  <c:v>11.028019451860683</c:v>
                </c:pt>
                <c:pt idx="24">
                  <c:v>11.459975587651762</c:v>
                </c:pt>
                <c:pt idx="25">
                  <c:v>11.90160394586934</c:v>
                </c:pt>
                <c:pt idx="26">
                  <c:v>12.353121103797351</c:v>
                </c:pt>
                <c:pt idx="27">
                  <c:v>12.814748488248393</c:v>
                </c:pt>
                <c:pt idx="28">
                  <c:v>13.286712484152808</c:v>
                </c:pt>
                <c:pt idx="29">
                  <c:v>13.769244545579264</c:v>
                </c:pt>
                <c:pt idx="30">
                  <c:v>14.262581309241252</c:v>
                </c:pt>
                <c:pt idx="31">
                  <c:v>14.766964710545206</c:v>
                </c:pt>
                <c:pt idx="32">
                  <c:v>15.282642102237125</c:v>
                </c:pt>
                <c:pt idx="33">
                  <c:v>15.809866375705884</c:v>
                </c:pt>
                <c:pt idx="34">
                  <c:v>16.348896085002753</c:v>
                </c:pt>
                <c:pt idx="35">
                  <c:v>16.899995573637892</c:v>
                </c:pt>
                <c:pt idx="36">
                  <c:v>17.463435104216057</c:v>
                </c:pt>
                <c:pt idx="37">
                  <c:v>18.03949099097505</c:v>
                </c:pt>
                <c:pt idx="38">
                  <c:v>18.628445735291937</c:v>
                </c:pt>
                <c:pt idx="39">
                  <c:v>19.230588164223473</c:v>
                </c:pt>
                <c:pt idx="40">
                  <c:v>19.846213572148681</c:v>
                </c:pt>
                <c:pt idx="41">
                  <c:v>20.475623865583042</c:v>
                </c:pt>
                <c:pt idx="42">
                  <c:v>21.118767245594924</c:v>
                </c:pt>
                <c:pt idx="43">
                  <c:v>21.776680221739266</c:v>
                </c:pt>
                <c:pt idx="44">
                  <c:v>22.443890449812482</c:v>
                </c:pt>
                <c:pt idx="45">
                  <c:v>23.120270571214487</c:v>
                </c:pt>
                <c:pt idx="46">
                  <c:v>23.80569124315759</c:v>
                </c:pt>
                <c:pt idx="47">
                  <c:v>24.500021227874193</c:v>
                </c:pt>
                <c:pt idx="48">
                  <c:v>25.203127481653272</c:v>
                </c:pt>
                <c:pt idx="49">
                  <c:v>25.914875243654286</c:v>
                </c:pt>
                <c:pt idx="50">
                  <c:v>26.635128124445604</c:v>
                </c:pt>
                <c:pt idx="51">
                  <c:v>27.363748194213375</c:v>
                </c:pt>
                <c:pt idx="52">
                  <c:v>28.100596070586015</c:v>
                </c:pt>
                <c:pt idx="53">
                  <c:v>28.845531006018703</c:v>
                </c:pt>
                <c:pt idx="54">
                  <c:v>29.598410974682274</c:v>
                </c:pt>
                <c:pt idx="55">
                  <c:v>30.359092758800429</c:v>
                </c:pt>
                <c:pt idx="56">
                  <c:v>31.127432034379694</c:v>
                </c:pt>
                <c:pt idx="57">
                  <c:v>31.903283456276839</c:v>
                </c:pt>
                <c:pt idx="58">
                  <c:v>32.686500742548724</c:v>
                </c:pt>
                <c:pt idx="59">
                  <c:v>33.476936758030718</c:v>
                </c:pt>
                <c:pt idx="60">
                  <c:v>34.274443597090482</c:v>
                </c:pt>
                <c:pt idx="61">
                  <c:v>35.078872665504804</c:v>
                </c:pt>
                <c:pt idx="62">
                  <c:v>35.890074761408812</c:v>
                </c:pt>
                <c:pt idx="63">
                  <c:v>36.707900155267652</c:v>
                </c:pt>
                <c:pt idx="64">
                  <c:v>37.532198668822481</c:v>
                </c:pt>
                <c:pt idx="65">
                  <c:v>38.362819752964327</c:v>
                </c:pt>
                <c:pt idx="66">
                  <c:v>39.199612564490117</c:v>
                </c:pt>
                <c:pt idx="67">
                  <c:v>40.04242604169827</c:v>
                </c:pt>
                <c:pt idx="68">
                  <c:v>40.89110897878146</c:v>
                </c:pt>
                <c:pt idx="69">
                  <c:v>41.745510098977427</c:v>
                </c:pt>
                <c:pt idx="70">
                  <c:v>42.605478126439635</c:v>
                </c:pt>
                <c:pt idx="71">
                  <c:v>43.470861856791842</c:v>
                </c:pt>
                <c:pt idx="72">
                  <c:v>44.341510226332886</c:v>
                </c:pt>
                <c:pt idx="73">
                  <c:v>45.21727237985958</c:v>
                </c:pt>
                <c:pt idx="74">
                  <c:v>46.097997737077939</c:v>
                </c:pt>
                <c:pt idx="75">
                  <c:v>46.983536057575122</c:v>
                </c:pt>
                <c:pt idx="76">
                  <c:v>47.873737504326087</c:v>
                </c:pt>
                <c:pt idx="77">
                  <c:v>48.768452705711795</c:v>
                </c:pt>
                <c:pt idx="78">
                  <c:v>49.667532816027069</c:v>
                </c:pt>
                <c:pt idx="79">
                  <c:v>50.570829574459083</c:v>
                </c:pt>
                <c:pt idx="80">
                  <c:v>51.478195362518946</c:v>
                </c:pt>
                <c:pt idx="81">
                  <c:v>52.389483259911238</c:v>
                </c:pt>
                <c:pt idx="82">
                  <c:v>53.304547098828337</c:v>
                </c:pt>
                <c:pt idx="83">
                  <c:v>54.223241516658341</c:v>
                </c:pt>
                <c:pt idx="84">
                  <c:v>55.145422007097707</c:v>
                </c:pt>
                <c:pt idx="85">
                  <c:v>56.070944969660843</c:v>
                </c:pt>
                <c:pt idx="86">
                  <c:v>56.999667757582202</c:v>
                </c:pt>
                <c:pt idx="87">
                  <c:v>57.931448724106971</c:v>
                </c:pt>
                <c:pt idx="88">
                  <c:v>58.866147267169168</c:v>
                </c:pt>
                <c:pt idx="89">
                  <c:v>59.803623872457344</c:v>
                </c:pt>
                <c:pt idx="90">
                  <c:v>60.743740154870281</c:v>
                </c:pt>
                <c:pt idx="91">
                  <c:v>61.686358898366166</c:v>
                </c:pt>
                <c:pt idx="92">
                  <c:v>62.631344094211038</c:v>
                </c:pt>
                <c:pt idx="93">
                  <c:v>63.578560977633487</c:v>
                </c:pt>
                <c:pt idx="94">
                  <c:v>64.527876062894478</c:v>
                </c:pt>
                <c:pt idx="95">
                  <c:v>65.479157176782138</c:v>
                </c:pt>
                <c:pt idx="96">
                  <c:v>66.432273490543707</c:v>
                </c:pt>
                <c:pt idx="97">
                  <c:v>67.387095550267077</c:v>
                </c:pt>
                <c:pt idx="98">
                  <c:v>68.343495305726933</c:v>
                </c:pt>
                <c:pt idx="99">
                  <c:v>69.301346137710397</c:v>
                </c:pt>
                <c:pt idx="100">
                  <c:v>70.260522883839826</c:v>
                </c:pt>
                <c:pt idx="101">
                  <c:v>71.220901862910239</c:v>
                </c:pt>
                <c:pt idx="102">
                  <c:v>72.18236089776066</c:v>
                </c:pt>
                <c:pt idx="103">
                  <c:v>73.144779336699344</c:v>
                </c:pt>
                <c:pt idx="104">
                  <c:v>74.108038073504417</c:v>
                </c:pt>
                <c:pt idx="105">
                  <c:v>75.07201956602141</c:v>
                </c:pt>
                <c:pt idx="106">
                  <c:v>76.036607853380929</c:v>
                </c:pt>
                <c:pt idx="107">
                  <c:v>77.001688571859901</c:v>
                </c:pt>
                <c:pt idx="108">
                  <c:v>77.967148969410999</c:v>
                </c:pt>
                <c:pt idx="109">
                  <c:v>78.932877918884913</c:v>
                </c:pt>
                <c:pt idx="110">
                  <c:v>79.89876592997183</c:v>
                </c:pt>
                <c:pt idx="111">
                  <c:v>80.864705159887507</c:v>
                </c:pt>
                <c:pt idx="112">
                  <c:v>81.830589422831395</c:v>
                </c:pt>
                <c:pt idx="113">
                  <c:v>82.796314198243707</c:v>
                </c:pt>
                <c:pt idx="114">
                  <c:v>83.761776637889014</c:v>
                </c:pt>
                <c:pt idx="115">
                  <c:v>84.72687557179438</c:v>
                </c:pt>
                <c:pt idx="116">
                  <c:v>85.691511513070409</c:v>
                </c:pt>
                <c:pt idx="117">
                  <c:v>86.655586661643497</c:v>
                </c:pt>
                <c:pt idx="118">
                  <c:v>87.619004906928069</c:v>
                </c:pt>
                <c:pt idx="119">
                  <c:v>88.581671829467837</c:v>
                </c:pt>
                <c:pt idx="120">
                  <c:v>89.543494701574872</c:v>
                </c:pt>
                <c:pt idx="121">
                  <c:v>90.504382486995482</c:v>
                </c:pt>
                <c:pt idx="122">
                  <c:v>91.464245839632298</c:v>
                </c:pt>
                <c:pt idx="123">
                  <c:v>92.422997101351399</c:v>
                </c:pt>
                <c:pt idx="124">
                  <c:v>93.380550298903586</c:v>
                </c:pt>
                <c:pt idx="125">
                  <c:v>94.336821139988658</c:v>
                </c:pt>
                <c:pt idx="126">
                  <c:v>95.291727008491875</c:v>
                </c:pt>
                <c:pt idx="127">
                  <c:v>96.245186958920812</c:v>
                </c:pt>
                <c:pt idx="128">
                  <c:v>97.197121710071457</c:v>
                </c:pt>
                <c:pt idx="129">
                  <c:v>98.147453637951756</c:v>
                </c:pt>
                <c:pt idx="130">
                  <c:v>99.096106767990889</c:v>
                </c:pt>
                <c:pt idx="131">
                  <c:v>100.0430067665614</c:v>
                </c:pt>
                <c:pt idx="132">
                  <c:v>100.98808093184263</c:v>
                </c:pt>
                <c:pt idx="133">
                  <c:v>101.931258184052</c:v>
                </c:pt>
                <c:pt idx="134">
                  <c:v>102.87246905507105</c:v>
                </c:pt>
                <c:pt idx="135">
                  <c:v>103.81164567749326</c:v>
                </c:pt>
                <c:pt idx="136">
                  <c:v>104.74872177311906</c:v>
                </c:pt>
                <c:pt idx="137">
                  <c:v>105.68363264092434</c:v>
                </c:pt>
                <c:pt idx="138">
                  <c:v>106.61631514452745</c:v>
                </c:pt>
                <c:pt idx="139">
                  <c:v>107.54670769917989</c:v>
                </c:pt>
                <c:pt idx="140">
                  <c:v>108.47475025830499</c:v>
                </c:pt>
                <c:pt idx="141">
                  <c:v>109.40038429960839</c:v>
                </c:pt>
                <c:pt idx="142">
                  <c:v>110.32355281078438</c:v>
                </c:pt>
                <c:pt idx="143">
                  <c:v>111.24420027484101</c:v>
                </c:pt>
                <c:pt idx="144">
                  <c:v>112.162272655066</c:v>
                </c:pt>
                <c:pt idx="145">
                  <c:v>113.07771737965686</c:v>
                </c:pt>
                <c:pt idx="146">
                  <c:v>113.99048332603523</c:v>
                </c:pt>
                <c:pt idx="147">
                  <c:v>114.90052080486808</c:v>
                </c:pt>
                <c:pt idx="148">
                  <c:v>115.80778154381539</c:v>
                </c:pt>
                <c:pt idx="149">
                  <c:v>116.71221867102484</c:v>
                </c:pt>
                <c:pt idx="150">
                  <c:v>117.61378669839311</c:v>
                </c:pt>
                <c:pt idx="151">
                  <c:v>118.5124415046127</c:v>
                </c:pt>
                <c:pt idx="152">
                  <c:v>119.40814031802313</c:v>
                </c:pt>
                <c:pt idx="153">
                  <c:v>120.3008416992844</c:v>
                </c:pt>
                <c:pt idx="154">
                  <c:v>121.19050552389018</c:v>
                </c:pt>
                <c:pt idx="155">
                  <c:v>122.077092964538</c:v>
                </c:pt>
                <c:pt idx="156">
                  <c:v>122.96056647337296</c:v>
                </c:pt>
                <c:pt idx="157">
                  <c:v>123.8408897641208</c:v>
                </c:pt>
                <c:pt idx="158">
                  <c:v>124.71802779412582</c:v>
                </c:pt>
                <c:pt idx="159">
                  <c:v>125.59194674630905</c:v>
                </c:pt>
                <c:pt idx="160">
                  <c:v>126.46261401106085</c:v>
                </c:pt>
                <c:pt idx="161">
                  <c:v>127.329998168082</c:v>
                </c:pt>
                <c:pt idx="162">
                  <c:v>128.19406896818703</c:v>
                </c:pt>
                <c:pt idx="163">
                  <c:v>129.05479731508245</c:v>
                </c:pt>
                <c:pt idx="164">
                  <c:v>129.91215524713317</c:v>
                </c:pt>
                <c:pt idx="165">
                  <c:v>130.76611591912854</c:v>
                </c:pt>
                <c:pt idx="166">
                  <c:v>131.61665358405969</c:v>
                </c:pt>
                <c:pt idx="167">
                  <c:v>132.46374357492016</c:v>
                </c:pt>
                <c:pt idx="168">
                  <c:v>133.30736228653979</c:v>
                </c:pt>
                <c:pt idx="169">
                  <c:v>134.14748715746208</c:v>
                </c:pt>
                <c:pt idx="170">
                  <c:v>134.984096651876</c:v>
                </c:pt>
                <c:pt idx="171">
                  <c:v>135.81717024161017</c:v>
                </c:pt>
                <c:pt idx="172">
                  <c:v>136.64668838819992</c:v>
                </c:pt>
                <c:pt idx="173">
                  <c:v>137.47263252503481</c:v>
                </c:pt>
                <c:pt idx="174">
                  <c:v>138.29498503959536</c:v>
                </c:pt>
                <c:pt idx="175">
                  <c:v>139.11372925578684</c:v>
                </c:pt>
                <c:pt idx="176">
                  <c:v>139.92884941637709</c:v>
                </c:pt>
                <c:pt idx="177">
                  <c:v>140.74033066554648</c:v>
                </c:pt>
                <c:pt idx="178">
                  <c:v>141.54815903155563</c:v>
                </c:pt>
                <c:pt idx="179">
                  <c:v>142.35232140953764</c:v>
                </c:pt>
                <c:pt idx="180">
                  <c:v>143.15280554442154</c:v>
                </c:pt>
                <c:pt idx="181">
                  <c:v>143.94960001399159</c:v>
                </c:pt>
                <c:pt idx="182">
                  <c:v>144.74269421208828</c:v>
                </c:pt>
              </c:numCache>
            </c:numRef>
          </c:xVal>
          <c:yVal>
            <c:numRef>
              <c:f>Nursery!$D$2:$D$183</c:f>
              <c:numCache>
                <c:formatCode>0.000</c:formatCode>
                <c:ptCount val="182"/>
                <c:pt idx="0">
                  <c:v>6.0000000000000001E-3</c:v>
                </c:pt>
                <c:pt idx="1">
                  <c:v>3.1414904995050674E-2</c:v>
                </c:pt>
                <c:pt idx="2">
                  <c:v>5.5843586791749618E-2</c:v>
                </c:pt>
                <c:pt idx="3">
                  <c:v>8.049860701743905E-2</c:v>
                </c:pt>
                <c:pt idx="4">
                  <c:v>0.10505565126357297</c:v>
                </c:pt>
                <c:pt idx="5">
                  <c:v>0.12949839020022452</c:v>
                </c:pt>
                <c:pt idx="6">
                  <c:v>0.15381049449746959</c:v>
                </c:pt>
                <c:pt idx="7">
                  <c:v>0.17963895851533723</c:v>
                </c:pt>
                <c:pt idx="8">
                  <c:v>0.20463895851533723</c:v>
                </c:pt>
                <c:pt idx="9">
                  <c:v>0.22963895851533722</c:v>
                </c:pt>
                <c:pt idx="10">
                  <c:v>0.25463895851533724</c:v>
                </c:pt>
                <c:pt idx="11">
                  <c:v>0.27963895851533727</c:v>
                </c:pt>
                <c:pt idx="12">
                  <c:v>0.30463895851533729</c:v>
                </c:pt>
                <c:pt idx="13">
                  <c:v>0.32963895851533731</c:v>
                </c:pt>
                <c:pt idx="14">
                  <c:v>0.35463895851533733</c:v>
                </c:pt>
                <c:pt idx="15">
                  <c:v>0.37963895851533735</c:v>
                </c:pt>
                <c:pt idx="16">
                  <c:v>0.40463895851533738</c:v>
                </c:pt>
                <c:pt idx="17">
                  <c:v>0.4296389585153374</c:v>
                </c:pt>
                <c:pt idx="18">
                  <c:v>0.45463895851533742</c:v>
                </c:pt>
                <c:pt idx="19">
                  <c:v>0.47963895851533744</c:v>
                </c:pt>
                <c:pt idx="20">
                  <c:v>0.50463895851533747</c:v>
                </c:pt>
                <c:pt idx="21">
                  <c:v>0.52963895851533749</c:v>
                </c:pt>
                <c:pt idx="22">
                  <c:v>0.54963895851533751</c:v>
                </c:pt>
                <c:pt idx="23">
                  <c:v>0.56963895851533752</c:v>
                </c:pt>
                <c:pt idx="24">
                  <c:v>0.58963895851533754</c:v>
                </c:pt>
                <c:pt idx="25">
                  <c:v>0.60963895851533756</c:v>
                </c:pt>
                <c:pt idx="26">
                  <c:v>0.62963895851533758</c:v>
                </c:pt>
                <c:pt idx="27">
                  <c:v>0.64963895851533759</c:v>
                </c:pt>
                <c:pt idx="28">
                  <c:v>0.67263895851533761</c:v>
                </c:pt>
                <c:pt idx="29">
                  <c:v>0.69563895851533764</c:v>
                </c:pt>
                <c:pt idx="30">
                  <c:v>0.71863895851533766</c:v>
                </c:pt>
                <c:pt idx="31">
                  <c:v>0.74163895851533768</c:v>
                </c:pt>
                <c:pt idx="32">
                  <c:v>0.7646389585153377</c:v>
                </c:pt>
                <c:pt idx="33">
                  <c:v>0.78763895851533772</c:v>
                </c:pt>
                <c:pt idx="34">
                  <c:v>0.81063895851533774</c:v>
                </c:pt>
                <c:pt idx="35">
                  <c:v>0.83363895851533776</c:v>
                </c:pt>
                <c:pt idx="36">
                  <c:v>0.85863895851533778</c:v>
                </c:pt>
                <c:pt idx="37">
                  <c:v>0.8836389585153378</c:v>
                </c:pt>
                <c:pt idx="38">
                  <c:v>0.91363895851533783</c:v>
                </c:pt>
                <c:pt idx="39">
                  <c:v>0.94363895851533786</c:v>
                </c:pt>
                <c:pt idx="40">
                  <c:v>0.97363895851533788</c:v>
                </c:pt>
                <c:pt idx="41">
                  <c:v>0.9976389585153379</c:v>
                </c:pt>
                <c:pt idx="42">
                  <c:v>1.0210304359021636</c:v>
                </c:pt>
                <c:pt idx="43">
                  <c:v>1.0501826107235677</c:v>
                </c:pt>
                <c:pt idx="44">
                  <c:v>1.0795110078548809</c:v>
                </c:pt>
                <c:pt idx="45">
                  <c:v>1.1089966437764907</c:v>
                </c:pt>
                <c:pt idx="46">
                  <c:v>1.1386204883163993</c:v>
                </c:pt>
                <c:pt idx="47">
                  <c:v>1.1683635012877533</c:v>
                </c:pt>
                <c:pt idx="48">
                  <c:v>1.1982066688855144</c:v>
                </c:pt>
                <c:pt idx="49">
                  <c:v>1.2281310397061247</c:v>
                </c:pt>
                <c:pt idx="50">
                  <c:v>1.2581177602572642</c:v>
                </c:pt>
                <c:pt idx="51">
                  <c:v>1.288148109828801</c:v>
                </c:pt>
                <c:pt idx="52">
                  <c:v>1.3182035346007943</c:v>
                </c:pt>
                <c:pt idx="53">
                  <c:v>1.3482656808698184</c:v>
                </c:pt>
                <c:pt idx="54">
                  <c:v>1.3783164272809321</c:v>
                </c:pt>
                <c:pt idx="55">
                  <c:v>1.4083379159592655</c:v>
                </c:pt>
                <c:pt idx="56">
                  <c:v>1.4383125824423098</c:v>
                </c:pt>
                <c:pt idx="57">
                  <c:v>1.4682231843216345</c:v>
                </c:pt>
                <c:pt idx="58">
                  <c:v>1.4980528285107182</c:v>
                </c:pt>
                <c:pt idx="59">
                  <c:v>1.5277849970639017</c:v>
                </c:pt>
                <c:pt idx="60">
                  <c:v>1.5574035714800547</c:v>
                </c:pt>
                <c:pt idx="61">
                  <c:v>1.5868928554332546</c:v>
                </c:pt>
                <c:pt idx="62">
                  <c:v>1.6162375958817081</c:v>
                </c:pt>
                <c:pt idx="63">
                  <c:v>1.6454230025150056</c:v>
                </c:pt>
                <c:pt idx="64">
                  <c:v>1.6744347655087433</c:v>
                </c:pt>
                <c:pt idx="65">
                  <c:v>1.7032590715643761</c:v>
                </c:pt>
                <c:pt idx="66">
                  <c:v>1.7318826182208045</c:v>
                </c:pt>
                <c:pt idx="67">
                  <c:v>1.7602926264327861</c:v>
                </c:pt>
                <c:pt idx="68">
                  <c:v>1.7884768514193998</c:v>
                </c:pt>
                <c:pt idx="69">
                  <c:v>1.8164235917938449</c:v>
                </c:pt>
                <c:pt idx="70">
                  <c:v>1.8441216969933927</c:v>
                </c:pt>
                <c:pt idx="71">
                  <c:v>1.8715605730355684</c:v>
                </c:pt>
                <c:pt idx="72">
                  <c:v>1.8987301866334616</c:v>
                </c:pt>
                <c:pt idx="73">
                  <c:v>1.9256210677093988</c:v>
                </c:pt>
                <c:pt idx="74">
                  <c:v>1.9522243103521277</c:v>
                </c:pt>
                <c:pt idx="75">
                  <c:v>1.9785315722680665</c:v>
                </c:pt>
                <c:pt idx="76">
                  <c:v>2.0045350727820388</c:v>
                </c:pt>
                <c:pt idx="77">
                  <c:v>2.0302275894473265</c:v>
                </c:pt>
                <c:pt idx="78">
                  <c:v>2.0556024533286958</c:v>
                </c:pt>
                <c:pt idx="79">
                  <c:v>2.0806535430253907</c:v>
                </c:pt>
                <c:pt idx="80">
                  <c:v>2.1053752775039052</c:v>
                </c:pt>
                <c:pt idx="81">
                  <c:v>2.1297626078126042</c:v>
                </c:pt>
                <c:pt idx="82">
                  <c:v>2.1538110077520929</c:v>
                </c:pt>
                <c:pt idx="83">
                  <c:v>2.1775164635764881</c:v>
                </c:pt>
                <c:pt idx="84">
                  <c:v>2.2008754628016005</c:v>
                </c:pt>
                <c:pt idx="85">
                  <c:v>2.223884982196386</c:v>
                </c:pt>
                <c:pt idx="86">
                  <c:v>2.2465424750339666</c:v>
                </c:pt>
                <c:pt idx="87">
                  <c:v>2.2688458576780723</c:v>
                </c:pt>
                <c:pt idx="88">
                  <c:v>2.2907934955798606</c:v>
                </c:pt>
                <c:pt idx="89">
                  <c:v>2.312384188758926</c:v>
                </c:pt>
                <c:pt idx="90">
                  <c:v>2.3336171568407291</c:v>
                </c:pt>
                <c:pt idx="91">
                  <c:v>2.3544920237208773</c:v>
                </c:pt>
                <c:pt idx="92">
                  <c:v>2.3750088019245941</c:v>
                </c:pt>
                <c:pt idx="93">
                  <c:v>2.3951678767273723</c:v>
                </c:pt>
                <c:pt idx="94">
                  <c:v>2.4149699901002748</c:v>
                </c:pt>
                <c:pt idx="95">
                  <c:v>2.4344162245406178</c:v>
                </c:pt>
                <c:pt idx="96">
                  <c:v>2.4535079868459162</c:v>
                </c:pt>
                <c:pt idx="97">
                  <c:v>2.4722469918859575</c:v>
                </c:pt>
                <c:pt idx="98">
                  <c:v>2.4906352464247883</c:v>
                </c:pt>
                <c:pt idx="99">
                  <c:v>2.5086750330412286</c:v>
                </c:pt>
                <c:pt idx="100">
                  <c:v>2.5263688941933191</c:v>
                </c:pt>
                <c:pt idx="101">
                  <c:v>2.5437196164688656</c:v>
                </c:pt>
                <c:pt idx="102">
                  <c:v>2.5607302150610085</c:v>
                </c:pt>
                <c:pt idx="103">
                  <c:v>2.5774039185044937</c:v>
                </c:pt>
                <c:pt idx="104">
                  <c:v>2.5937441537051837</c:v>
                </c:pt>
                <c:pt idx="105">
                  <c:v>2.6097545312921309</c:v>
                </c:pt>
                <c:pt idx="106">
                  <c:v>2.6254388313185109</c:v>
                </c:pt>
                <c:pt idx="107">
                  <c:v>2.6408009893347169</c:v>
                </c:pt>
                <c:pt idx="108">
                  <c:v>2.6558450828539613</c:v>
                </c:pt>
                <c:pt idx="109">
                  <c:v>2.6705753182279626</c:v>
                </c:pt>
                <c:pt idx="110">
                  <c:v>2.6849960179476078</c:v>
                </c:pt>
                <c:pt idx="111">
                  <c:v>2.6991116083808495</c:v>
                </c:pt>
                <c:pt idx="112">
                  <c:v>2.7129266079576846</c:v>
                </c:pt>
                <c:pt idx="113">
                  <c:v>2.7264456158097241</c:v>
                </c:pt>
                <c:pt idx="114">
                  <c:v>2.7396733008696259</c:v>
                </c:pt>
                <c:pt idx="115">
                  <c:v>2.7526143914336654</c:v>
                </c:pt>
                <c:pt idx="116">
                  <c:v>2.7652736651887135</c:v>
                </c:pt>
                <c:pt idx="117">
                  <c:v>2.7776559397031382</c:v>
                </c:pt>
                <c:pt idx="118">
                  <c:v>2.7897660633794832</c:v>
                </c:pt>
                <c:pt idx="119">
                  <c:v>2.8016089068652255</c:v>
                </c:pt>
                <c:pt idx="120">
                  <c:v>2.8131893549165219</c:v>
                </c:pt>
                <c:pt idx="121">
                  <c:v>2.8245122987085898</c:v>
                </c:pt>
                <c:pt idx="122">
                  <c:v>2.8355826285852119</c:v>
                </c:pt>
                <c:pt idx="123">
                  <c:v>2.8464052272388294</c:v>
                </c:pt>
                <c:pt idx="124">
                  <c:v>2.856984963311767</c:v>
                </c:pt>
                <c:pt idx="125">
                  <c:v>2.8673266854083379</c:v>
                </c:pt>
                <c:pt idx="126">
                  <c:v>2.8774352165069002</c:v>
                </c:pt>
                <c:pt idx="127">
                  <c:v>2.8873153487602883</c:v>
                </c:pt>
                <c:pt idx="128">
                  <c:v>2.8969718386726182</c:v>
                </c:pt>
                <c:pt idx="129">
                  <c:v>2.9064094026399827</c:v>
                </c:pt>
                <c:pt idx="130">
                  <c:v>2.9156327128423007</c:v>
                </c:pt>
                <c:pt idx="131">
                  <c:v>2.9246463934732643</c:v>
                </c:pt>
                <c:pt idx="132">
                  <c:v>2.933455017295227</c:v>
                </c:pt>
                <c:pt idx="133">
                  <c:v>2.9420631025057329</c:v>
                </c:pt>
                <c:pt idx="134">
                  <c:v>2.9504751099023467</c:v>
                </c:pt>
                <c:pt idx="135">
                  <c:v>2.9586954403324857</c:v>
                </c:pt>
                <c:pt idx="136">
                  <c:v>2.9667284324150121</c:v>
                </c:pt>
                <c:pt idx="137">
                  <c:v>2.9745783605204448</c:v>
                </c:pt>
                <c:pt idx="138">
                  <c:v>2.9822494329968512</c:v>
                </c:pt>
                <c:pt idx="139">
                  <c:v>2.9897457906286382</c:v>
                </c:pt>
                <c:pt idx="140">
                  <c:v>2.99707150531572</c:v>
                </c:pt>
                <c:pt idx="141">
                  <c:v>3.0042305789608075</c:v>
                </c:pt>
                <c:pt idx="142">
                  <c:v>3.0112269425528093</c:v>
                </c:pt>
                <c:pt idx="143">
                  <c:v>3.0180644554347249</c:v>
                </c:pt>
                <c:pt idx="144">
                  <c:v>3.0247469047446622</c:v>
                </c:pt>
                <c:pt idx="145">
                  <c:v>3.0312780050190073</c:v>
                </c:pt>
                <c:pt idx="146">
                  <c:v>3.0376613979471134</c:v>
                </c:pt>
                <c:pt idx="147">
                  <c:v>3.0439006522672551</c:v>
                </c:pt>
                <c:pt idx="148">
                  <c:v>3.0499992637939668</c:v>
                </c:pt>
                <c:pt idx="149">
                  <c:v>3.0559606555672514</c:v>
                </c:pt>
                <c:pt idx="150">
                  <c:v>3.0617881781145639</c:v>
                </c:pt>
                <c:pt idx="151">
                  <c:v>3.0674851098168223</c:v>
                </c:pt>
                <c:pt idx="152">
                  <c:v>3.0730546573701085</c:v>
                </c:pt>
                <c:pt idx="153">
                  <c:v>3.0784999563350839</c:v>
                </c:pt>
                <c:pt idx="154">
                  <c:v>3.0838240717665473</c:v>
                </c:pt>
                <c:pt idx="155">
                  <c:v>3.0890299989159047</c:v>
                </c:pt>
                <c:pt idx="156">
                  <c:v>3.0941206639997136</c:v>
                </c:pt>
                <c:pt idx="157">
                  <c:v>3.0990989250277989</c:v>
                </c:pt>
                <c:pt idx="158">
                  <c:v>3.1039675726848182</c:v>
                </c:pt>
                <c:pt idx="159">
                  <c:v>3.1087293312594619</c:v>
                </c:pt>
                <c:pt idx="160">
                  <c:v>3.1133868596158321</c:v>
                </c:pt>
                <c:pt idx="161">
                  <c:v>3.1179427522018486</c:v>
                </c:pt>
                <c:pt idx="162">
                  <c:v>3.122399540089861</c:v>
                </c:pt>
                <c:pt idx="163">
                  <c:v>3.1267596920449239</c:v>
                </c:pt>
                <c:pt idx="164">
                  <c:v>3.1310256156164979</c:v>
                </c:pt>
                <c:pt idx="165">
                  <c:v>3.1351996582496184</c:v>
                </c:pt>
                <c:pt idx="166">
                  <c:v>3.1392841084118324</c:v>
                </c:pt>
                <c:pt idx="167">
                  <c:v>3.143281196732465</c:v>
                </c:pt>
                <c:pt idx="168">
                  <c:v>3.147193097151022</c:v>
                </c:pt>
                <c:pt idx="169">
                  <c:v>3.1510219280717822</c:v>
                </c:pt>
                <c:pt idx="170">
                  <c:v>3.1547697535218138</c:v>
                </c:pt>
                <c:pt idx="171">
                  <c:v>3.1584385843099336</c:v>
                </c:pt>
                <c:pt idx="172">
                  <c:v>3.1620303791842446</c:v>
                </c:pt>
                <c:pt idx="173">
                  <c:v>3.165547045986159</c:v>
                </c:pt>
                <c:pt idx="174">
                  <c:v>3.1689904427989277</c:v>
                </c:pt>
                <c:pt idx="175">
                  <c:v>3.1723623790889244</c:v>
                </c:pt>
                <c:pt idx="176">
                  <c:v>3.1756646168380493</c:v>
                </c:pt>
                <c:pt idx="177">
                  <c:v>3.1788988716657984</c:v>
                </c:pt>
                <c:pt idx="178">
                  <c:v>3.1820668139396844</c:v>
                </c:pt>
                <c:pt idx="179">
                  <c:v>3.1851700698728078</c:v>
                </c:pt>
                <c:pt idx="180">
                  <c:v>3.1882102226075437</c:v>
                </c:pt>
                <c:pt idx="181">
                  <c:v>3.1911888132843833</c:v>
                </c:pt>
              </c:numCache>
            </c:numRef>
          </c:yVal>
          <c:smooth val="1"/>
          <c:extLst>
            <c:ext xmlns:c16="http://schemas.microsoft.com/office/drawing/2014/chart" uri="{C3380CC4-5D6E-409C-BE32-E72D297353CC}">
              <c16:uniqueId val="{00000000-DEDB-47B9-BA78-6F8137C4DAD4}"/>
            </c:ext>
          </c:extLst>
        </c:ser>
        <c:dLbls>
          <c:showLegendKey val="0"/>
          <c:showVal val="0"/>
          <c:showCatName val="0"/>
          <c:showSerName val="0"/>
          <c:showPercent val="0"/>
          <c:showBubbleSize val="0"/>
        </c:dLbls>
        <c:axId val="500089360"/>
        <c:axId val="500090344"/>
      </c:scatterChart>
      <c:valAx>
        <c:axId val="50008936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90344"/>
        <c:crosses val="autoZero"/>
        <c:crossBetween val="midCat"/>
      </c:valAx>
      <c:valAx>
        <c:axId val="500090344"/>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89360"/>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1"/>
          <c:order val="0"/>
          <c:tx>
            <c:strRef>
              <c:f>Nursery!$E$1</c:f>
              <c:strCache>
                <c:ptCount val="1"/>
                <c:pt idx="0">
                  <c:v>F:G</c:v>
                </c:pt>
              </c:strCache>
            </c:strRef>
          </c:tx>
          <c:marker>
            <c:symbol val="none"/>
          </c:marker>
          <c:xVal>
            <c:numRef>
              <c:f>Nursery!$B$2:$B$184</c:f>
              <c:numCache>
                <c:formatCode>0.00</c:formatCode>
                <c:ptCount val="183"/>
                <c:pt idx="0">
                  <c:v>5.65</c:v>
                </c:pt>
                <c:pt idx="1">
                  <c:v>5.6560000000000006</c:v>
                </c:pt>
                <c:pt idx="2">
                  <c:v>5.6871038663317339</c:v>
                </c:pt>
                <c:pt idx="3">
                  <c:v>5.7418524808334492</c:v>
                </c:pt>
                <c:pt idx="4">
                  <c:v>5.8200064682290211</c:v>
                </c:pt>
                <c:pt idx="5">
                  <c:v>5.9210215175209182</c:v>
                </c:pt>
                <c:pt idx="6">
                  <c:v>6.0443533177116082</c:v>
                </c:pt>
                <c:pt idx="7">
                  <c:v>6.1894575578035607</c:v>
                </c:pt>
                <c:pt idx="8">
                  <c:v>6.3557899267992433</c:v>
                </c:pt>
                <c:pt idx="9">
                  <c:v>6.5428061137011246</c:v>
                </c:pt>
                <c:pt idx="10">
                  <c:v>6.7499618075116734</c:v>
                </c:pt>
                <c:pt idx="11">
                  <c:v>6.9767126972333582</c:v>
                </c:pt>
                <c:pt idx="12">
                  <c:v>7.2225144718686467</c:v>
                </c:pt>
                <c:pt idx="13">
                  <c:v>7.4868228204200085</c:v>
                </c:pt>
                <c:pt idx="14">
                  <c:v>7.7690934318899121</c:v>
                </c:pt>
                <c:pt idx="15">
                  <c:v>8.0687819952808244</c:v>
                </c:pt>
                <c:pt idx="16">
                  <c:v>8.3853441995952149</c:v>
                </c:pt>
                <c:pt idx="17">
                  <c:v>8.7182357338355523</c:v>
                </c:pt>
                <c:pt idx="18">
                  <c:v>9.0669122870043033</c:v>
                </c:pt>
                <c:pt idx="19">
                  <c:v>9.4308295481039384</c:v>
                </c:pt>
                <c:pt idx="20">
                  <c:v>9.8094432061369261</c:v>
                </c:pt>
                <c:pt idx="21">
                  <c:v>10.202208950105733</c:v>
                </c:pt>
                <c:pt idx="22">
                  <c:v>10.608582469012829</c:v>
                </c:pt>
                <c:pt idx="23">
                  <c:v>11.028019451860683</c:v>
                </c:pt>
                <c:pt idx="24">
                  <c:v>11.459975587651762</c:v>
                </c:pt>
                <c:pt idx="25">
                  <c:v>11.90160394586934</c:v>
                </c:pt>
                <c:pt idx="26">
                  <c:v>12.353121103797351</c:v>
                </c:pt>
                <c:pt idx="27">
                  <c:v>12.814748488248393</c:v>
                </c:pt>
                <c:pt idx="28">
                  <c:v>13.286712484152808</c:v>
                </c:pt>
                <c:pt idx="29">
                  <c:v>13.769244545579264</c:v>
                </c:pt>
                <c:pt idx="30">
                  <c:v>14.262581309241252</c:v>
                </c:pt>
                <c:pt idx="31">
                  <c:v>14.766964710545206</c:v>
                </c:pt>
                <c:pt idx="32">
                  <c:v>15.282642102237125</c:v>
                </c:pt>
                <c:pt idx="33">
                  <c:v>15.809866375705884</c:v>
                </c:pt>
                <c:pt idx="34">
                  <c:v>16.348896085002753</c:v>
                </c:pt>
                <c:pt idx="35">
                  <c:v>16.899995573637892</c:v>
                </c:pt>
                <c:pt idx="36">
                  <c:v>17.463435104216057</c:v>
                </c:pt>
                <c:pt idx="37">
                  <c:v>18.03949099097505</c:v>
                </c:pt>
                <c:pt idx="38">
                  <c:v>18.628445735291937</c:v>
                </c:pt>
                <c:pt idx="39">
                  <c:v>19.230588164223473</c:v>
                </c:pt>
                <c:pt idx="40">
                  <c:v>19.846213572148681</c:v>
                </c:pt>
                <c:pt idx="41">
                  <c:v>20.475623865583042</c:v>
                </c:pt>
                <c:pt idx="42">
                  <c:v>21.118767245594924</c:v>
                </c:pt>
                <c:pt idx="43">
                  <c:v>21.776680221739266</c:v>
                </c:pt>
                <c:pt idx="44">
                  <c:v>22.443890449812482</c:v>
                </c:pt>
                <c:pt idx="45">
                  <c:v>23.120270571214487</c:v>
                </c:pt>
                <c:pt idx="46">
                  <c:v>23.80569124315759</c:v>
                </c:pt>
                <c:pt idx="47">
                  <c:v>24.500021227874193</c:v>
                </c:pt>
                <c:pt idx="48">
                  <c:v>25.203127481653272</c:v>
                </c:pt>
                <c:pt idx="49">
                  <c:v>25.914875243654286</c:v>
                </c:pt>
                <c:pt idx="50">
                  <c:v>26.635128124445604</c:v>
                </c:pt>
                <c:pt idx="51">
                  <c:v>27.363748194213375</c:v>
                </c:pt>
                <c:pt idx="52">
                  <c:v>28.100596070586015</c:v>
                </c:pt>
                <c:pt idx="53">
                  <c:v>28.845531006018703</c:v>
                </c:pt>
                <c:pt idx="54">
                  <c:v>29.598410974682274</c:v>
                </c:pt>
                <c:pt idx="55">
                  <c:v>30.359092758800429</c:v>
                </c:pt>
                <c:pt idx="56">
                  <c:v>31.127432034379694</c:v>
                </c:pt>
                <c:pt idx="57">
                  <c:v>31.903283456276839</c:v>
                </c:pt>
                <c:pt idx="58">
                  <c:v>32.686500742548724</c:v>
                </c:pt>
                <c:pt idx="59">
                  <c:v>33.476936758030718</c:v>
                </c:pt>
                <c:pt idx="60">
                  <c:v>34.274443597090482</c:v>
                </c:pt>
                <c:pt idx="61">
                  <c:v>35.078872665504804</c:v>
                </c:pt>
                <c:pt idx="62">
                  <c:v>35.890074761408812</c:v>
                </c:pt>
                <c:pt idx="63">
                  <c:v>36.707900155267652</c:v>
                </c:pt>
                <c:pt idx="64">
                  <c:v>37.532198668822481</c:v>
                </c:pt>
                <c:pt idx="65">
                  <c:v>38.362819752964327</c:v>
                </c:pt>
                <c:pt idx="66">
                  <c:v>39.199612564490117</c:v>
                </c:pt>
                <c:pt idx="67">
                  <c:v>40.04242604169827</c:v>
                </c:pt>
                <c:pt idx="68">
                  <c:v>40.89110897878146</c:v>
                </c:pt>
                <c:pt idx="69">
                  <c:v>41.745510098977427</c:v>
                </c:pt>
                <c:pt idx="70">
                  <c:v>42.605478126439635</c:v>
                </c:pt>
                <c:pt idx="71">
                  <c:v>43.470861856791842</c:v>
                </c:pt>
                <c:pt idx="72">
                  <c:v>44.341510226332886</c:v>
                </c:pt>
                <c:pt idx="73">
                  <c:v>45.21727237985958</c:v>
                </c:pt>
                <c:pt idx="74">
                  <c:v>46.097997737077939</c:v>
                </c:pt>
                <c:pt idx="75">
                  <c:v>46.983536057575122</c:v>
                </c:pt>
                <c:pt idx="76">
                  <c:v>47.873737504326087</c:v>
                </c:pt>
                <c:pt idx="77">
                  <c:v>48.768452705711795</c:v>
                </c:pt>
                <c:pt idx="78">
                  <c:v>49.667532816027069</c:v>
                </c:pt>
                <c:pt idx="79">
                  <c:v>50.570829574459083</c:v>
                </c:pt>
                <c:pt idx="80">
                  <c:v>51.478195362518946</c:v>
                </c:pt>
                <c:pt idx="81">
                  <c:v>52.389483259911238</c:v>
                </c:pt>
                <c:pt idx="82">
                  <c:v>53.304547098828337</c:v>
                </c:pt>
                <c:pt idx="83">
                  <c:v>54.223241516658341</c:v>
                </c:pt>
                <c:pt idx="84">
                  <c:v>55.145422007097707</c:v>
                </c:pt>
                <c:pt idx="85">
                  <c:v>56.070944969660843</c:v>
                </c:pt>
                <c:pt idx="86">
                  <c:v>56.999667757582202</c:v>
                </c:pt>
                <c:pt idx="87">
                  <c:v>57.931448724106971</c:v>
                </c:pt>
                <c:pt idx="88">
                  <c:v>58.866147267169168</c:v>
                </c:pt>
                <c:pt idx="89">
                  <c:v>59.803623872457344</c:v>
                </c:pt>
                <c:pt idx="90">
                  <c:v>60.743740154870281</c:v>
                </c:pt>
                <c:pt idx="91">
                  <c:v>61.686358898366166</c:v>
                </c:pt>
                <c:pt idx="92">
                  <c:v>62.631344094211038</c:v>
                </c:pt>
                <c:pt idx="93">
                  <c:v>63.578560977633487</c:v>
                </c:pt>
                <c:pt idx="94">
                  <c:v>64.527876062894478</c:v>
                </c:pt>
                <c:pt idx="95">
                  <c:v>65.479157176782138</c:v>
                </c:pt>
                <c:pt idx="96">
                  <c:v>66.432273490543707</c:v>
                </c:pt>
                <c:pt idx="97">
                  <c:v>67.387095550267077</c:v>
                </c:pt>
                <c:pt idx="98">
                  <c:v>68.343495305726933</c:v>
                </c:pt>
                <c:pt idx="99">
                  <c:v>69.301346137710397</c:v>
                </c:pt>
                <c:pt idx="100">
                  <c:v>70.260522883839826</c:v>
                </c:pt>
                <c:pt idx="101">
                  <c:v>71.220901862910239</c:v>
                </c:pt>
                <c:pt idx="102">
                  <c:v>72.18236089776066</c:v>
                </c:pt>
                <c:pt idx="103">
                  <c:v>73.144779336699344</c:v>
                </c:pt>
                <c:pt idx="104">
                  <c:v>74.108038073504417</c:v>
                </c:pt>
                <c:pt idx="105">
                  <c:v>75.07201956602141</c:v>
                </c:pt>
                <c:pt idx="106">
                  <c:v>76.036607853380929</c:v>
                </c:pt>
                <c:pt idx="107">
                  <c:v>77.001688571859901</c:v>
                </c:pt>
                <c:pt idx="108">
                  <c:v>77.967148969410999</c:v>
                </c:pt>
                <c:pt idx="109">
                  <c:v>78.932877918884913</c:v>
                </c:pt>
                <c:pt idx="110">
                  <c:v>79.89876592997183</c:v>
                </c:pt>
                <c:pt idx="111">
                  <c:v>80.864705159887507</c:v>
                </c:pt>
                <c:pt idx="112">
                  <c:v>81.830589422831395</c:v>
                </c:pt>
                <c:pt idx="113">
                  <c:v>82.796314198243707</c:v>
                </c:pt>
                <c:pt idx="114">
                  <c:v>83.761776637889014</c:v>
                </c:pt>
                <c:pt idx="115">
                  <c:v>84.72687557179438</c:v>
                </c:pt>
                <c:pt idx="116">
                  <c:v>85.691511513070409</c:v>
                </c:pt>
                <c:pt idx="117">
                  <c:v>86.655586661643497</c:v>
                </c:pt>
                <c:pt idx="118">
                  <c:v>87.619004906928069</c:v>
                </c:pt>
                <c:pt idx="119">
                  <c:v>88.581671829467837</c:v>
                </c:pt>
                <c:pt idx="120">
                  <c:v>89.543494701574872</c:v>
                </c:pt>
                <c:pt idx="121">
                  <c:v>90.504382486995482</c:v>
                </c:pt>
                <c:pt idx="122">
                  <c:v>91.464245839632298</c:v>
                </c:pt>
                <c:pt idx="123">
                  <c:v>92.422997101351399</c:v>
                </c:pt>
                <c:pt idx="124">
                  <c:v>93.380550298903586</c:v>
                </c:pt>
                <c:pt idx="125">
                  <c:v>94.336821139988658</c:v>
                </c:pt>
                <c:pt idx="126">
                  <c:v>95.291727008491875</c:v>
                </c:pt>
                <c:pt idx="127">
                  <c:v>96.245186958920812</c:v>
                </c:pt>
                <c:pt idx="128">
                  <c:v>97.197121710071457</c:v>
                </c:pt>
                <c:pt idx="129">
                  <c:v>98.147453637951756</c:v>
                </c:pt>
                <c:pt idx="130">
                  <c:v>99.096106767990889</c:v>
                </c:pt>
                <c:pt idx="131">
                  <c:v>100.0430067665614</c:v>
                </c:pt>
                <c:pt idx="132">
                  <c:v>100.98808093184263</c:v>
                </c:pt>
                <c:pt idx="133">
                  <c:v>101.931258184052</c:v>
                </c:pt>
                <c:pt idx="134">
                  <c:v>102.87246905507105</c:v>
                </c:pt>
                <c:pt idx="135">
                  <c:v>103.81164567749326</c:v>
                </c:pt>
                <c:pt idx="136">
                  <c:v>104.74872177311906</c:v>
                </c:pt>
                <c:pt idx="137">
                  <c:v>105.68363264092434</c:v>
                </c:pt>
                <c:pt idx="138">
                  <c:v>106.61631514452745</c:v>
                </c:pt>
                <c:pt idx="139">
                  <c:v>107.54670769917989</c:v>
                </c:pt>
                <c:pt idx="140">
                  <c:v>108.47475025830499</c:v>
                </c:pt>
                <c:pt idx="141">
                  <c:v>109.40038429960839</c:v>
                </c:pt>
                <c:pt idx="142">
                  <c:v>110.32355281078438</c:v>
                </c:pt>
                <c:pt idx="143">
                  <c:v>111.24420027484101</c:v>
                </c:pt>
                <c:pt idx="144">
                  <c:v>112.162272655066</c:v>
                </c:pt>
                <c:pt idx="145">
                  <c:v>113.07771737965686</c:v>
                </c:pt>
                <c:pt idx="146">
                  <c:v>113.99048332603523</c:v>
                </c:pt>
                <c:pt idx="147">
                  <c:v>114.90052080486808</c:v>
                </c:pt>
                <c:pt idx="148">
                  <c:v>115.80778154381539</c:v>
                </c:pt>
                <c:pt idx="149">
                  <c:v>116.71221867102484</c:v>
                </c:pt>
                <c:pt idx="150">
                  <c:v>117.61378669839311</c:v>
                </c:pt>
                <c:pt idx="151">
                  <c:v>118.5124415046127</c:v>
                </c:pt>
                <c:pt idx="152">
                  <c:v>119.40814031802313</c:v>
                </c:pt>
                <c:pt idx="153">
                  <c:v>120.3008416992844</c:v>
                </c:pt>
                <c:pt idx="154">
                  <c:v>121.19050552389018</c:v>
                </c:pt>
                <c:pt idx="155">
                  <c:v>122.077092964538</c:v>
                </c:pt>
                <c:pt idx="156">
                  <c:v>122.96056647337296</c:v>
                </c:pt>
                <c:pt idx="157">
                  <c:v>123.8408897641208</c:v>
                </c:pt>
                <c:pt idx="158">
                  <c:v>124.71802779412582</c:v>
                </c:pt>
                <c:pt idx="159">
                  <c:v>125.59194674630905</c:v>
                </c:pt>
                <c:pt idx="160">
                  <c:v>126.46261401106085</c:v>
                </c:pt>
                <c:pt idx="161">
                  <c:v>127.329998168082</c:v>
                </c:pt>
                <c:pt idx="162">
                  <c:v>128.19406896818703</c:v>
                </c:pt>
                <c:pt idx="163">
                  <c:v>129.05479731508245</c:v>
                </c:pt>
                <c:pt idx="164">
                  <c:v>129.91215524713317</c:v>
                </c:pt>
                <c:pt idx="165">
                  <c:v>130.76611591912854</c:v>
                </c:pt>
                <c:pt idx="166">
                  <c:v>131.61665358405969</c:v>
                </c:pt>
                <c:pt idx="167">
                  <c:v>132.46374357492016</c:v>
                </c:pt>
                <c:pt idx="168">
                  <c:v>133.30736228653979</c:v>
                </c:pt>
                <c:pt idx="169">
                  <c:v>134.14748715746208</c:v>
                </c:pt>
                <c:pt idx="170">
                  <c:v>134.984096651876</c:v>
                </c:pt>
                <c:pt idx="171">
                  <c:v>135.81717024161017</c:v>
                </c:pt>
                <c:pt idx="172">
                  <c:v>136.64668838819992</c:v>
                </c:pt>
                <c:pt idx="173">
                  <c:v>137.47263252503481</c:v>
                </c:pt>
                <c:pt idx="174">
                  <c:v>138.29498503959536</c:v>
                </c:pt>
                <c:pt idx="175">
                  <c:v>139.11372925578684</c:v>
                </c:pt>
                <c:pt idx="176">
                  <c:v>139.92884941637709</c:v>
                </c:pt>
                <c:pt idx="177">
                  <c:v>140.74033066554648</c:v>
                </c:pt>
                <c:pt idx="178">
                  <c:v>141.54815903155563</c:v>
                </c:pt>
                <c:pt idx="179">
                  <c:v>142.35232140953764</c:v>
                </c:pt>
                <c:pt idx="180">
                  <c:v>143.15280554442154</c:v>
                </c:pt>
                <c:pt idx="181">
                  <c:v>143.94960001399159</c:v>
                </c:pt>
                <c:pt idx="182">
                  <c:v>144.74269421208828</c:v>
                </c:pt>
              </c:numCache>
            </c:numRef>
          </c:xVal>
          <c:yVal>
            <c:numRef>
              <c:f>Nursery!$E$2:$E$183</c:f>
              <c:numCache>
                <c:formatCode>0.000</c:formatCode>
                <c:ptCount val="182"/>
                <c:pt idx="0">
                  <c:v>1</c:v>
                </c:pt>
                <c:pt idx="1">
                  <c:v>1.01</c:v>
                </c:pt>
                <c:pt idx="2">
                  <c:v>1.02</c:v>
                </c:pt>
                <c:pt idx="3">
                  <c:v>1.03</c:v>
                </c:pt>
                <c:pt idx="4">
                  <c:v>1.04</c:v>
                </c:pt>
                <c:pt idx="5">
                  <c:v>1.05</c:v>
                </c:pt>
                <c:pt idx="6">
                  <c:v>1.06</c:v>
                </c:pt>
                <c:pt idx="7">
                  <c:v>1.08</c:v>
                </c:pt>
                <c:pt idx="8" formatCode="General">
                  <c:v>1.0942312636429792</c:v>
                </c:pt>
                <c:pt idx="9" formatCode="General">
                  <c:v>1.1085331727611127</c:v>
                </c:pt>
                <c:pt idx="10" formatCode="General">
                  <c:v>1.1229898979795954</c:v>
                </c:pt>
                <c:pt idx="11" formatCode="General">
                  <c:v>1.1376604539582966</c:v>
                </c:pt>
                <c:pt idx="12" formatCode="General">
                  <c:v>1.1525892397460094</c:v>
                </c:pt>
                <c:pt idx="13" formatCode="General">
                  <c:v>1.1678118270930384</c:v>
                </c:pt>
                <c:pt idx="14" formatCode="General">
                  <c:v>1.1833583320720451</c:v>
                </c:pt>
                <c:pt idx="15" formatCode="General">
                  <c:v>1.1992554807278977</c:v>
                </c:pt>
                <c:pt idx="16" formatCode="General">
                  <c:v>1.2155279329608923</c:v>
                </c:pt>
                <c:pt idx="17" formatCode="General">
                  <c:v>1.2321991674255268</c:v>
                </c:pt>
                <c:pt idx="18" formatCode="General">
                  <c:v>1.2492920977190585</c:v>
                </c:pt>
                <c:pt idx="19" formatCode="General">
                  <c:v>1.2668295195878738</c:v>
                </c:pt>
                <c:pt idx="20" formatCode="General">
                  <c:v>1.2848344497055093</c:v>
                </c:pt>
                <c:pt idx="21" formatCode="General">
                  <c:v>1.3033303940171921</c:v>
                </c:pt>
                <c:pt idx="22">
                  <c:v>1.3104208283767693</c:v>
                </c:pt>
                <c:pt idx="23">
                  <c:v>1.3187426021211794</c:v>
                </c:pt>
                <c:pt idx="24">
                  <c:v>1.3351474096797875</c:v>
                </c:pt>
                <c:pt idx="25">
                  <c:v>1.3502010893958927</c:v>
                </c:pt>
                <c:pt idx="26">
                  <c:v>1.3639549552808548</c:v>
                </c:pt>
                <c:pt idx="27">
                  <c:v>1.3764587217515321</c:v>
                </c:pt>
                <c:pt idx="28">
                  <c:v>1.3939777525391599</c:v>
                </c:pt>
                <c:pt idx="29">
                  <c:v>1.41006916523245</c:v>
                </c:pt>
                <c:pt idx="30">
                  <c:v>1.4247870898556145</c:v>
                </c:pt>
                <c:pt idx="31">
                  <c:v>1.4381839701795907</c:v>
                </c:pt>
                <c:pt idx="32">
                  <c:v>1.450310611619906</c:v>
                </c:pt>
                <c:pt idx="33">
                  <c:v>1.4612162278453349</c:v>
                </c:pt>
                <c:pt idx="34">
                  <c:v>1.4709484861308377</c:v>
                </c:pt>
                <c:pt idx="35">
                  <c:v>1.4795535514874352</c:v>
                </c:pt>
                <c:pt idx="36">
                  <c:v>1.4905480149612107</c:v>
                </c:pt>
                <c:pt idx="37">
                  <c:v>1.5003512019251102</c:v>
                </c:pt>
                <c:pt idx="38">
                  <c:v>1.5173137029000485</c:v>
                </c:pt>
                <c:pt idx="39">
                  <c:v>1.5328135362307558</c:v>
                </c:pt>
                <c:pt idx="40">
                  <c:v>1.5469066341490871</c:v>
                </c:pt>
                <c:pt idx="41">
                  <c:v>1.5503232269017442</c:v>
                </c:pt>
                <c:pt idx="42">
                  <c:v>1.5519232374558856</c:v>
                </c:pt>
                <c:pt idx="43" formatCode="0.00">
                  <c:v>1.5739905752888519</c:v>
                </c:pt>
                <c:pt idx="44" formatCode="0.00">
                  <c:v>1.5960123216177078</c:v>
                </c:pt>
                <c:pt idx="45" formatCode="0.00">
                  <c:v>1.6179795695869374</c:v>
                </c:pt>
                <c:pt idx="46" formatCode="0.00">
                  <c:v>1.639883792115268</c:v>
                </c:pt>
                <c:pt idx="47" formatCode="0.00">
                  <c:v>1.661716838682622</c:v>
                </c:pt>
                <c:pt idx="48" formatCode="0.00">
                  <c:v>1.6834709329002526</c:v>
                </c:pt>
                <c:pt idx="49" formatCode="0.00">
                  <c:v>1.7051386706802458</c:v>
                </c:pt>
                <c:pt idx="50" formatCode="0.00">
                  <c:v>1.7267130188415705</c:v>
                </c:pt>
                <c:pt idx="51" formatCode="0.00">
                  <c:v>1.7481873140085669</c:v>
                </c:pt>
                <c:pt idx="52" formatCode="0.00">
                  <c:v>1.7695552616754755</c:v>
                </c:pt>
                <c:pt idx="53" formatCode="0.00">
                  <c:v>1.7908109353249368</c:v>
                </c:pt>
                <c:pt idx="54" formatCode="0.00">
                  <c:v>1.8119487755037931</c:v>
                </c:pt>
                <c:pt idx="55" formatCode="0.00">
                  <c:v>1.8329635887707203</c:v>
                </c:pt>
                <c:pt idx="56" formatCode="0.00">
                  <c:v>1.8538505464426269</c:v>
                </c:pt>
                <c:pt idx="57" formatCode="0.00">
                  <c:v>1.8746051830780937</c:v>
                </c:pt>
                <c:pt idx="58" formatCode="0.00">
                  <c:v>1.8952233946440709</c:v>
                </c:pt>
                <c:pt idx="59" formatCode="0.00">
                  <c:v>1.9157014363226186</c:v>
                </c:pt>
                <c:pt idx="60" formatCode="0.00">
                  <c:v>1.9360359199226653</c:v>
                </c:pt>
                <c:pt idx="61" formatCode="0.00">
                  <c:v>1.9562238108677623</c:v>
                </c:pt>
                <c:pt idx="62" formatCode="0.00">
                  <c:v>1.9762624247403568</c:v>
                </c:pt>
                <c:pt idx="63" formatCode="0.00">
                  <c:v>1.9961494233673123</c:v>
                </c:pt>
                <c:pt idx="64" formatCode="0.00">
                  <c:v>2.0158828104377831</c:v>
                </c:pt>
                <c:pt idx="65" formatCode="0.00">
                  <c:v>2.0354609266524299</c:v>
                </c:pt>
                <c:pt idx="66" formatCode="0.00">
                  <c:v>2.0548824444024327</c:v>
                </c:pt>
                <c:pt idx="67" formatCode="0.00">
                  <c:v>2.0741463619884679</c:v>
                </c:pt>
                <c:pt idx="68" formatCode="0.00">
                  <c:v>2.0932519973864183</c:v>
                </c:pt>
                <c:pt idx="69" formatCode="0.00">
                  <c:v>2.1121989815762858</c:v>
                </c:pt>
                <c:pt idx="70" formatCode="0.00">
                  <c:v>2.1309872514506885</c:v>
                </c:pt>
                <c:pt idx="71" formatCode="0.00">
                  <c:v>2.1496170423223186</c:v>
                </c:pt>
                <c:pt idx="72" formatCode="0.00">
                  <c:v>2.1680888800541069</c:v>
                </c:pt>
                <c:pt idx="73" formatCode="0.00">
                  <c:v>2.186403572835903</c:v>
                </c:pt>
                <c:pt idx="74" formatCode="0.00">
                  <c:v>2.204562202634051</c:v>
                </c:pt>
                <c:pt idx="75" formatCode="0.00">
                  <c:v>2.2225661163428376</c:v>
                </c:pt>
                <c:pt idx="76" formatCode="0.00">
                  <c:v>2.2404169166651862</c:v>
                </c:pt>
                <c:pt idx="77" formatCode="0.00">
                  <c:v>2.2581164527545821</c:v>
                </c:pt>
                <c:pt idx="78" formatCode="0.00">
                  <c:v>2.2756668106469364</c:v>
                </c:pt>
                <c:pt idx="79" formatCode="0.00">
                  <c:v>2.2930703035148161</c:v>
                </c:pt>
                <c:pt idx="80" formatCode="0.00">
                  <c:v>2.3103294617744519</c:v>
                </c:pt>
                <c:pt idx="81" formatCode="0.00">
                  <c:v>2.327447023076552</c:v>
                </c:pt>
                <c:pt idx="82" formatCode="0.00">
                  <c:v>2.344425922211967</c:v>
                </c:pt>
                <c:pt idx="83" formatCode="0.00">
                  <c:v>2.3612692809615021</c:v>
                </c:pt>
                <c:pt idx="84" formatCode="0.00">
                  <c:v>2.3779803979217475</c:v>
                </c:pt>
                <c:pt idx="85" formatCode="0.00">
                  <c:v>2.3945627383320942</c:v>
                </c:pt>
                <c:pt idx="86" formatCode="0.00">
                  <c:v>2.4110199239342878</c:v>
                </c:pt>
                <c:pt idx="87" formatCode="0.00">
                  <c:v>2.4273557228890406</c:v>
                </c:pt>
                <c:pt idx="88" formatCode="0.00">
                  <c:v>2.4435740397763661</c:v>
                </c:pt>
                <c:pt idx="89" formatCode="0.00">
                  <c:v>2.4596789057028938</c:v>
                </c:pt>
                <c:pt idx="90" formatCode="0.00">
                  <c:v>2.4756744685407552</c:v>
                </c:pt>
                <c:pt idx="91" formatCode="0.00">
                  <c:v>2.4915649833178861</c:v>
                </c:pt>
                <c:pt idx="92" formatCode="0.00">
                  <c:v>2.5073548027810695</c:v>
                </c:pt>
                <c:pt idx="93" formatCode="0.00">
                  <c:v>2.52304836814942</c:v>
                </c:pt>
                <c:pt idx="94" formatCode="0.00">
                  <c:v>2.5386502000768898</c:v>
                </c:pt>
                <c:pt idx="95" formatCode="0.00">
                  <c:v>2.5541648898369496</c:v>
                </c:pt>
                <c:pt idx="96" formatCode="0.00">
                  <c:v>2.5695970907466732</c:v>
                </c:pt>
                <c:pt idx="97" formatCode="0.00">
                  <c:v>2.5849515098393692</c:v>
                </c:pt>
                <c:pt idx="98" formatCode="0.00">
                  <c:v>2.6002328998006088</c:v>
                </c:pt>
                <c:pt idx="99" formatCode="0.00">
                  <c:v>2.6154460511730466</c:v>
                </c:pt>
                <c:pt idx="100" formatCode="0.00">
                  <c:v>2.6305957848418209</c:v>
                </c:pt>
                <c:pt idx="101" formatCode="0.00">
                  <c:v>2.6456869448053033</c:v>
                </c:pt>
                <c:pt idx="102" formatCode="0.00">
                  <c:v>2.6607243912376384</c:v>
                </c:pt>
                <c:pt idx="103" formatCode="0.00">
                  <c:v>2.6757129938454542</c:v>
                </c:pt>
                <c:pt idx="104" formatCode="0.00">
                  <c:v>2.6906576255243424</c:v>
                </c:pt>
                <c:pt idx="105" formatCode="0.00">
                  <c:v>2.705563156314204</c:v>
                </c:pt>
                <c:pt idx="106" formatCode="0.00">
                  <c:v>2.7204344476557005</c:v>
                </c:pt>
                <c:pt idx="107" formatCode="0.00">
                  <c:v>2.7352763469461205</c:v>
                </c:pt>
                <c:pt idx="108" formatCode="0.00">
                  <c:v>2.7500936823947852</c:v>
                </c:pt>
                <c:pt idx="109" formatCode="0.00">
                  <c:v>2.7648912581726255</c:v>
                </c:pt>
                <c:pt idx="110" formatCode="0.00">
                  <c:v>2.7796738498569935</c:v>
                </c:pt>
                <c:pt idx="111" formatCode="0.00">
                  <c:v>2.7944462001630641</c:v>
                </c:pt>
                <c:pt idx="112" formatCode="0.00">
                  <c:v>2.8092130149600982</c:v>
                </c:pt>
                <c:pt idx="113" formatCode="0.00">
                  <c:v>2.8239789595661211</c:v>
                </c:pt>
                <c:pt idx="114" formatCode="0.00">
                  <c:v>2.83874865531482</c:v>
                </c:pt>
                <c:pt idx="115" formatCode="0.00">
                  <c:v>2.8535266763878635</c:v>
                </c:pt>
                <c:pt idx="116" formatCode="0.00">
                  <c:v>2.8683175469065372</c:v>
                </c:pt>
                <c:pt idx="117" formatCode="0.00">
                  <c:v>2.8831257382744302</c:v>
                </c:pt>
                <c:pt idx="118" formatCode="0.00">
                  <c:v>2.8979556667630679</c:v>
                </c:pt>
                <c:pt idx="119" formatCode="0.00">
                  <c:v>2.912811691333383</c:v>
                </c:pt>
                <c:pt idx="120" formatCode="0.00">
                  <c:v>2.9276981116843972</c:v>
                </c:pt>
                <c:pt idx="121" formatCode="0.00">
                  <c:v>2.942619166519322</c:v>
                </c:pt>
                <c:pt idx="122" formatCode="0.00">
                  <c:v>2.9575790320221689</c:v>
                </c:pt>
                <c:pt idx="123" formatCode="0.00">
                  <c:v>2.9725818205350407</c:v>
                </c:pt>
                <c:pt idx="124" formatCode="0.00">
                  <c:v>2.9876315794278243</c:v>
                </c:pt>
                <c:pt idx="125" formatCode="0.00">
                  <c:v>3.0027322901499955</c:v>
                </c:pt>
                <c:pt idx="126" formatCode="0.00">
                  <c:v>3.0178878674583229</c:v>
                </c:pt>
                <c:pt idx="127" formatCode="0.00">
                  <c:v>3.0331021588089557</c:v>
                </c:pt>
                <c:pt idx="128" formatCode="0.00">
                  <c:v>3.0483789439067568</c:v>
                </c:pt>
                <c:pt idx="129" formatCode="0.00">
                  <c:v>3.0637219344019755</c:v>
                </c:pt>
                <c:pt idx="130" formatCode="0.00">
                  <c:v>3.0791347737288803</c:v>
                </c:pt>
                <c:pt idx="131" formatCode="0.00">
                  <c:v>3.0946210370727609</c:v>
                </c:pt>
                <c:pt idx="132" formatCode="0.00">
                  <c:v>3.110184231461997</c:v>
                </c:pt>
                <c:pt idx="133" formatCode="0.00">
                  <c:v>3.1258277959755723</c:v>
                </c:pt>
                <c:pt idx="134" formatCode="0.00">
                  <c:v>3.1415551020561412</c:v>
                </c:pt>
                <c:pt idx="135" formatCode="0.00">
                  <c:v>3.1573694539253077</c:v>
                </c:pt>
                <c:pt idx="136" formatCode="0.00">
                  <c:v>3.1732740890898423</c:v>
                </c:pt>
                <c:pt idx="137" formatCode="0.00">
                  <c:v>3.1892721789345955</c:v>
                </c:pt>
                <c:pt idx="138" formatCode="0.00">
                  <c:v>3.2053668293926756</c:v>
                </c:pt>
                <c:pt idx="139" formatCode="0.00">
                  <c:v>3.2215610816891544</c:v>
                </c:pt>
                <c:pt idx="140" formatCode="0.00">
                  <c:v>3.2378579131505432</c:v>
                </c:pt>
                <c:pt idx="141" formatCode="0.00">
                  <c:v>3.2542602380727206</c:v>
                </c:pt>
                <c:pt idx="142" formatCode="0.00">
                  <c:v>3.2707709086434749</c:v>
                </c:pt>
                <c:pt idx="143" formatCode="0.00">
                  <c:v>3.2873927159153467</c:v>
                </c:pt>
                <c:pt idx="144" formatCode="0.00">
                  <c:v>3.3041283908174002</c:v>
                </c:pt>
                <c:pt idx="145" formatCode="0.00">
                  <c:v>3.3209806052103121</c:v>
                </c:pt>
                <c:pt idx="146" formatCode="0.00">
                  <c:v>3.3379519729703997</c:v>
                </c:pt>
                <c:pt idx="147" formatCode="0.00">
                  <c:v>3.3550450511052219</c:v>
                </c:pt>
                <c:pt idx="148" formatCode="0.00">
                  <c:v>3.3722623408931036</c:v>
                </c:pt>
                <c:pt idx="149" formatCode="0.00">
                  <c:v>3.3896062890426344</c:v>
                </c:pt>
                <c:pt idx="150" formatCode="0.00">
                  <c:v>3.4070792888703805</c:v>
                </c:pt>
                <c:pt idx="151" formatCode="0.00">
                  <c:v>3.4246836814901722</c:v>
                </c:pt>
                <c:pt idx="152" formatCode="0.00">
                  <c:v>3.4424217570138245</c:v>
                </c:pt>
                <c:pt idx="153" formatCode="0.00">
                  <c:v>3.4602957557583225</c:v>
                </c:pt>
                <c:pt idx="154" formatCode="0.00">
                  <c:v>3.4783078694564464</c:v>
                </c:pt>
                <c:pt idx="155" formatCode="0.00">
                  <c:v>3.4964602424688374</c:v>
                </c:pt>
                <c:pt idx="156" formatCode="0.00">
                  <c:v>3.5147549729954815</c:v>
                </c:pt>
                <c:pt idx="157" formatCode="0.00">
                  <c:v>3.5331941142833396</c:v>
                </c:pt>
                <c:pt idx="158" formatCode="0.00">
                  <c:v>3.5517796758274445</c:v>
                </c:pt>
                <c:pt idx="159" formatCode="0.00">
                  <c:v>3.5705136245654723</c:v>
                </c:pt>
                <c:pt idx="160" formatCode="0.00">
                  <c:v>3.5893978860625175</c:v>
                </c:pt>
                <c:pt idx="161" formatCode="0.00">
                  <c:v>3.6084343456842545</c:v>
                </c:pt>
                <c:pt idx="162" formatCode="0.00">
                  <c:v>3.6276248497590258</c:v>
                </c:pt>
                <c:pt idx="163" formatCode="0.00">
                  <c:v>3.6469712067234448</c:v>
                </c:pt>
                <c:pt idx="164" formatCode="0.00">
                  <c:v>3.6664751882549056</c:v>
                </c:pt>
                <c:pt idx="165" formatCode="0.00">
                  <c:v>3.6861385303887726</c:v>
                </c:pt>
                <c:pt idx="166" formatCode="0.00">
                  <c:v>3.7059629346145035</c:v>
                </c:pt>
                <c:pt idx="167" formatCode="0.00">
                  <c:v>3.7259500689568839</c:v>
                </c:pt>
                <c:pt idx="168" formatCode="0.00">
                  <c:v>3.7461015690393853</c:v>
                </c:pt>
                <c:pt idx="169" formatCode="0.00">
                  <c:v>3.7664190391231487</c:v>
                </c:pt>
                <c:pt idx="170" formatCode="0.00">
                  <c:v>3.7869040531323144</c:v>
                </c:pt>
                <c:pt idx="171" formatCode="0.00">
                  <c:v>3.8075581556529707</c:v>
                </c:pt>
                <c:pt idx="172" formatCode="0.00">
                  <c:v>3.8283828629155128</c:v>
                </c:pt>
                <c:pt idx="173" formatCode="0.00">
                  <c:v>3.8493796637537758</c:v>
                </c:pt>
                <c:pt idx="174" formatCode="0.00">
                  <c:v>3.8705500205424479</c:v>
                </c:pt>
                <c:pt idx="175" formatCode="0.00">
                  <c:v>3.8918953701153907</c:v>
                </c:pt>
                <c:pt idx="176" formatCode="0.00">
                  <c:v>3.9134171246576233</c:v>
                </c:pt>
                <c:pt idx="177" formatCode="0.00">
                  <c:v>3.9351166725801789</c:v>
                </c:pt>
                <c:pt idx="178" formatCode="0.00">
                  <c:v>3.9569953793720885</c:v>
                </c:pt>
                <c:pt idx="179" formatCode="0.00">
                  <c:v>3.9790545884269988</c:v>
                </c:pt>
                <c:pt idx="180" formatCode="0.00">
                  <c:v>4.0012956218532985</c:v>
                </c:pt>
                <c:pt idx="181" formatCode="0.00">
                  <c:v>4.0237197812602137</c:v>
                </c:pt>
              </c:numCache>
            </c:numRef>
          </c:yVal>
          <c:smooth val="1"/>
          <c:extLst>
            <c:ext xmlns:c16="http://schemas.microsoft.com/office/drawing/2014/chart" uri="{C3380CC4-5D6E-409C-BE32-E72D297353CC}">
              <c16:uniqueId val="{00000000-A0E4-4BF5-B630-A8E0D429DB66}"/>
            </c:ext>
          </c:extLst>
        </c:ser>
        <c:dLbls>
          <c:showLegendKey val="0"/>
          <c:showVal val="0"/>
          <c:showCatName val="0"/>
          <c:showSerName val="0"/>
          <c:showPercent val="0"/>
          <c:showBubbleSize val="0"/>
        </c:dLbls>
        <c:axId val="500089360"/>
        <c:axId val="500090344"/>
      </c:scatterChart>
      <c:valAx>
        <c:axId val="50008936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90344"/>
        <c:crosses val="autoZero"/>
        <c:crossBetween val="midCat"/>
      </c:valAx>
      <c:valAx>
        <c:axId val="500090344"/>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89360"/>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r>
              <a:rPr lang="en-US" sz="1600" b="1"/>
              <a:t>Body Weight</a:t>
            </a:r>
          </a:p>
        </c:rich>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lineMarker"/>
        <c:varyColors val="0"/>
        <c:ser>
          <c:idx val="0"/>
          <c:order val="0"/>
          <c:tx>
            <c:strRef>
              <c:f>Table!$C$2</c:f>
              <c:strCache>
                <c:ptCount val="1"/>
                <c:pt idx="0">
                  <c:v>Mixed Gender</c:v>
                </c:pt>
              </c:strCache>
            </c:strRef>
          </c:tx>
          <c:spPr>
            <a:ln w="25400" cap="rnd">
              <a:solidFill>
                <a:srgbClr val="00B050"/>
              </a:solidFill>
              <a:prstDash val="sysDash"/>
              <a:round/>
            </a:ln>
            <a:effectLst/>
          </c:spPr>
          <c:marker>
            <c:symbol val="none"/>
          </c:marker>
          <c:xVal>
            <c:strRef>
              <c:f>Table!$D$5:$D$31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Table!$E$5:$E$31</c:f>
            </c:numRef>
          </c:yVal>
          <c:smooth val="0"/>
          <c:extLst>
            <c:ext xmlns:c16="http://schemas.microsoft.com/office/drawing/2014/chart" uri="{C3380CC4-5D6E-409C-BE32-E72D297353CC}">
              <c16:uniqueId val="{00000000-7286-4C7A-8B38-27C45AE2FCD2}"/>
            </c:ext>
          </c:extLst>
        </c:ser>
        <c:ser>
          <c:idx val="1"/>
          <c:order val="1"/>
          <c:tx>
            <c:strRef>
              <c:f>Table!$C$2</c:f>
              <c:strCache>
                <c:ptCount val="1"/>
                <c:pt idx="0">
                  <c:v>Mixed Gender</c:v>
                </c:pt>
              </c:strCache>
            </c:strRef>
          </c:tx>
          <c:spPr>
            <a:ln w="25400" cap="rnd">
              <a:solidFill>
                <a:srgbClr val="00B050"/>
              </a:solidFill>
              <a:prstDash val="sysDash"/>
              <a:round/>
            </a:ln>
            <a:effectLst/>
          </c:spPr>
          <c:marker>
            <c:symbol val="none"/>
          </c:marker>
          <c:xVal>
            <c:strRef>
              <c:f>Table!$D$5:$D$31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Table!$F$5:$F$31</c:f>
              <c:numCache>
                <c:formatCode>0.0</c:formatCode>
                <c:ptCount val="27"/>
                <c:pt idx="0">
                  <c:v>13.227735731092654</c:v>
                </c:pt>
                <c:pt idx="1">
                  <c:v>15.761171261201072</c:v>
                </c:pt>
                <c:pt idx="2">
                  <c:v>20.707554521403313</c:v>
                </c:pt>
                <c:pt idx="3">
                  <c:v>27.597701230847786</c:v>
                </c:pt>
                <c:pt idx="4">
                  <c:v>35.908351196984356</c:v>
                </c:pt>
                <c:pt idx="5">
                  <c:v>45.61247054995944</c:v>
                </c:pt>
                <c:pt idx="6">
                  <c:v>56.912767178361044</c:v>
                </c:pt>
                <c:pt idx="7">
                  <c:v>69.456394927521714</c:v>
                </c:pt>
                <c:pt idx="8">
                  <c:v>82.993511298879639</c:v>
                </c:pt>
                <c:pt idx="9">
                  <c:v>97.397896886675895</c:v>
                </c:pt>
                <c:pt idx="10">
                  <c:v>112.53922625493321</c:v>
                </c:pt>
                <c:pt idx="11">
                  <c:v>128.28638667643142</c:v>
                </c:pt>
                <c:pt idx="12">
                  <c:v>144.51042323254063</c:v>
                </c:pt>
                <c:pt idx="13">
                  <c:v>161.08704481923829</c:v>
                </c:pt>
                <c:pt idx="14">
                  <c:v>177.8986556177471</c:v>
                </c:pt>
                <c:pt idx="15">
                  <c:v>194.83590548682471</c:v>
                </c:pt>
                <c:pt idx="16">
                  <c:v>211.79877765845282</c:v>
                </c:pt>
                <c:pt idx="17">
                  <c:v>228.69725148527371</c:v>
                </c:pt>
                <c:pt idx="18">
                  <c:v>245.45159126094109</c:v>
                </c:pt>
                <c:pt idx="19">
                  <c:v>261.99231956675885</c:v>
                </c:pt>
                <c:pt idx="20">
                  <c:v>120</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1-7286-4C7A-8B38-27C45AE2FCD2}"/>
            </c:ext>
          </c:extLst>
        </c:ser>
        <c:ser>
          <c:idx val="2"/>
          <c:order val="2"/>
          <c:tx>
            <c:strRef>
              <c:f>Table!$Q$2</c:f>
              <c:strCache>
                <c:ptCount val="1"/>
                <c:pt idx="0">
                  <c:v>Barrows</c:v>
                </c:pt>
              </c:strCache>
            </c:strRef>
          </c:tx>
          <c:spPr>
            <a:ln w="19050" cap="rnd">
              <a:solidFill>
                <a:schemeClr val="accent3"/>
              </a:solidFill>
              <a:round/>
            </a:ln>
            <a:effectLst/>
          </c:spPr>
          <c:marker>
            <c:symbol val="none"/>
          </c:marker>
          <c:xVal>
            <c:strRef>
              <c:f>Table!$R$5:$R$31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Table!$S$5:$S$31</c:f>
            </c:numRef>
          </c:yVal>
          <c:smooth val="0"/>
          <c:extLst>
            <c:ext xmlns:c16="http://schemas.microsoft.com/office/drawing/2014/chart" uri="{C3380CC4-5D6E-409C-BE32-E72D297353CC}">
              <c16:uniqueId val="{00000002-7286-4C7A-8B38-27C45AE2FCD2}"/>
            </c:ext>
          </c:extLst>
        </c:ser>
        <c:ser>
          <c:idx val="3"/>
          <c:order val="3"/>
          <c:tx>
            <c:strRef>
              <c:f>Table!$AE$2</c:f>
              <c:strCache>
                <c:ptCount val="1"/>
                <c:pt idx="0">
                  <c:v>Gilts</c:v>
                </c:pt>
              </c:strCache>
            </c:strRef>
          </c:tx>
          <c:spPr>
            <a:ln w="19050" cap="rnd">
              <a:solidFill>
                <a:schemeClr val="accent4"/>
              </a:solidFill>
              <a:round/>
            </a:ln>
            <a:effectLst/>
          </c:spPr>
          <c:marker>
            <c:symbol val="none"/>
          </c:marker>
          <c:xVal>
            <c:strRef>
              <c:f>Table!$AF$5:$AF$31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Table!$AG$5:$AG$31</c:f>
            </c:numRef>
          </c:yVal>
          <c:smooth val="0"/>
          <c:extLst>
            <c:ext xmlns:c16="http://schemas.microsoft.com/office/drawing/2014/chart" uri="{C3380CC4-5D6E-409C-BE32-E72D297353CC}">
              <c16:uniqueId val="{00000003-7286-4C7A-8B38-27C45AE2FCD2}"/>
            </c:ext>
          </c:extLst>
        </c:ser>
        <c:ser>
          <c:idx val="4"/>
          <c:order val="4"/>
          <c:tx>
            <c:strRef>
              <c:f>Table!$Q$2</c:f>
              <c:strCache>
                <c:ptCount val="1"/>
                <c:pt idx="0">
                  <c:v>Barrows</c:v>
                </c:pt>
              </c:strCache>
            </c:strRef>
          </c:tx>
          <c:spPr>
            <a:ln w="25400" cap="rnd">
              <a:solidFill>
                <a:srgbClr val="0070C0"/>
              </a:solidFill>
              <a:round/>
            </a:ln>
            <a:effectLst/>
          </c:spPr>
          <c:marker>
            <c:symbol val="none"/>
          </c:marker>
          <c:xVal>
            <c:strRef>
              <c:f>Table!$R$5:$R$31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Table!$T$5:$T$31</c:f>
              <c:numCache>
                <c:formatCode>0.0</c:formatCode>
                <c:ptCount val="27"/>
                <c:pt idx="0">
                  <c:v>13.101069089923836</c:v>
                </c:pt>
                <c:pt idx="1">
                  <c:v>15.622316380900321</c:v>
                </c:pt>
                <c:pt idx="2">
                  <c:v>20.544902823975359</c:v>
                </c:pt>
                <c:pt idx="3">
                  <c:v>27.40190136179644</c:v>
                </c:pt>
                <c:pt idx="4">
                  <c:v>35.672569181979298</c:v>
                </c:pt>
                <c:pt idx="5">
                  <c:v>45.330002473346248</c:v>
                </c:pt>
                <c:pt idx="6">
                  <c:v>56.735810230252405</c:v>
                </c:pt>
                <c:pt idx="7">
                  <c:v>69.669926862371398</c:v>
                </c:pt>
                <c:pt idx="8">
                  <c:v>83.694901787230222</c:v>
                </c:pt>
                <c:pt idx="9">
                  <c:v>98.67374427558228</c:v>
                </c:pt>
                <c:pt idx="10">
                  <c:v>114.46269340480879</c:v>
                </c:pt>
                <c:pt idx="11">
                  <c:v>130.91546460219053</c:v>
                </c:pt>
                <c:pt idx="12">
                  <c:v>147.88706270112223</c:v>
                </c:pt>
                <c:pt idx="13">
                  <c:v>165.23705892461632</c:v>
                </c:pt>
                <c:pt idx="14">
                  <c:v>182.832270781787</c:v>
                </c:pt>
                <c:pt idx="15">
                  <c:v>200.54882502690546</c:v>
                </c:pt>
                <c:pt idx="16">
                  <c:v>218.27362004474145</c:v>
                </c:pt>
                <c:pt idx="17">
                  <c:v>235.90523264316596</c:v>
                </c:pt>
                <c:pt idx="18">
                  <c:v>253.35433421689461</c:v>
                </c:pt>
                <c:pt idx="19">
                  <c:v>270.54369279778035</c:v>
                </c:pt>
                <c:pt idx="20">
                  <c:v>123.8688535564965</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10-7286-4C7A-8B38-27C45AE2FCD2}"/>
            </c:ext>
          </c:extLst>
        </c:ser>
        <c:ser>
          <c:idx val="5"/>
          <c:order val="5"/>
          <c:tx>
            <c:strRef>
              <c:f>Table!$AE$2</c:f>
              <c:strCache>
                <c:ptCount val="1"/>
                <c:pt idx="0">
                  <c:v>Gilts</c:v>
                </c:pt>
              </c:strCache>
            </c:strRef>
          </c:tx>
          <c:spPr>
            <a:ln w="25400" cap="rnd">
              <a:solidFill>
                <a:srgbClr val="FF0000"/>
              </a:solidFill>
              <a:round/>
            </a:ln>
            <a:effectLst/>
          </c:spPr>
          <c:marker>
            <c:symbol val="none"/>
          </c:marker>
          <c:xVal>
            <c:strRef>
              <c:f>Table!$AF$5:$AF$31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Table!$AH$5:$AH$31</c:f>
              <c:numCache>
                <c:formatCode>0.0</c:formatCode>
                <c:ptCount val="27"/>
                <c:pt idx="0">
                  <c:v>13.355627038574953</c:v>
                </c:pt>
                <c:pt idx="1">
                  <c:v>15.901250807815307</c:v>
                </c:pt>
                <c:pt idx="2">
                  <c:v>20.871430885144751</c:v>
                </c:pt>
                <c:pt idx="3">
                  <c:v>27.794725766212608</c:v>
                </c:pt>
                <c:pt idx="4">
                  <c:v>36.145357878302868</c:v>
                </c:pt>
                <c:pt idx="5">
                  <c:v>45.896163292886094</c:v>
                </c:pt>
                <c:pt idx="6">
                  <c:v>57.090948792783109</c:v>
                </c:pt>
                <c:pt idx="7">
                  <c:v>69.24408765898545</c:v>
                </c:pt>
                <c:pt idx="8">
                  <c:v>82.293345476842418</c:v>
                </c:pt>
                <c:pt idx="9">
                  <c:v>96.123274164082886</c:v>
                </c:pt>
                <c:pt idx="10">
                  <c:v>110.61698377137095</c:v>
                </c:pt>
                <c:pt idx="11">
                  <c:v>125.65853341698563</c:v>
                </c:pt>
                <c:pt idx="12">
                  <c:v>141.13500843027234</c:v>
                </c:pt>
                <c:pt idx="13">
                  <c:v>156.93825538017353</c:v>
                </c:pt>
                <c:pt idx="14">
                  <c:v>172.96626512002047</c:v>
                </c:pt>
                <c:pt idx="15">
                  <c:v>189.12421061305727</c:v>
                </c:pt>
                <c:pt idx="16">
                  <c:v>205.32515993847753</c:v>
                </c:pt>
                <c:pt idx="17">
                  <c:v>221.49049499369482</c:v>
                </c:pt>
                <c:pt idx="18">
                  <c:v>237.55007297130086</c:v>
                </c:pt>
                <c:pt idx="19">
                  <c:v>253.44217100205069</c:v>
                </c:pt>
                <c:pt idx="20">
                  <c:v>122.77658254670939</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11-7286-4C7A-8B38-27C45AE2FCD2}"/>
            </c:ext>
          </c:extLst>
        </c:ser>
        <c:dLbls>
          <c:showLegendKey val="0"/>
          <c:showVal val="0"/>
          <c:showCatName val="0"/>
          <c:showSerName val="0"/>
          <c:showPercent val="0"/>
          <c:showBubbleSize val="0"/>
        </c:dLbls>
        <c:axId val="785886808"/>
        <c:axId val="785888120"/>
      </c:scatterChart>
      <c:valAx>
        <c:axId val="78588680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Week</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8120"/>
        <c:crosses val="autoZero"/>
        <c:crossBetween val="midCat"/>
        <c:majorUnit val="2"/>
      </c:valAx>
      <c:valAx>
        <c:axId val="7858881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lbs</a:t>
                </a:r>
              </a:p>
            </c:rich>
          </c:tx>
          <c:layout>
            <c:manualLayout>
              <c:xMode val="edge"/>
              <c:yMode val="edge"/>
              <c:x val="0"/>
              <c:y val="0.4035969022816764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680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22225" cap="flat" cmpd="sng" algn="ctr">
      <a:solidFill>
        <a:schemeClr val="tx1"/>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r>
              <a:rPr lang="en-US" sz="1600" b="1"/>
              <a:t>Average Daily Gain</a:t>
            </a:r>
          </a:p>
        </c:rich>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lineMarker"/>
        <c:varyColors val="0"/>
        <c:ser>
          <c:idx val="0"/>
          <c:order val="0"/>
          <c:tx>
            <c:strRef>
              <c:f>Table!$C$2</c:f>
              <c:strCache>
                <c:ptCount val="1"/>
                <c:pt idx="0">
                  <c:v>Mixed Gender</c:v>
                </c:pt>
              </c:strCache>
            </c:strRef>
          </c:tx>
          <c:spPr>
            <a:ln w="25400" cap="rnd">
              <a:solidFill>
                <a:srgbClr val="00B050"/>
              </a:solidFill>
              <a:prstDash val="sysDash"/>
              <a:round/>
            </a:ln>
            <a:effectLst/>
          </c:spPr>
          <c:marker>
            <c:symbol val="none"/>
          </c:marker>
          <c:xVal>
            <c:strRef>
              <c:f>Table!$D$5:$D$31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Table!$I$5:$I$31</c:f>
              <c:numCache>
                <c:formatCode>0.000</c:formatCode>
                <c:ptCount val="27"/>
                <c:pt idx="1">
                  <c:v>0.36191936144405978</c:v>
                </c:pt>
                <c:pt idx="2">
                  <c:v>0.70662618002889155</c:v>
                </c:pt>
                <c:pt idx="3">
                  <c:v>0.98430667277778183</c:v>
                </c:pt>
                <c:pt idx="4">
                  <c:v>1.1872357094480814</c:v>
                </c:pt>
                <c:pt idx="5">
                  <c:v>1.3863027647107262</c:v>
                </c:pt>
                <c:pt idx="6">
                  <c:v>1.6143280897716576</c:v>
                </c:pt>
                <c:pt idx="7">
                  <c:v>1.7919468213086671</c:v>
                </c:pt>
                <c:pt idx="8">
                  <c:v>1.9338737673368465</c:v>
                </c:pt>
                <c:pt idx="9">
                  <c:v>2.0577693696851793</c:v>
                </c:pt>
                <c:pt idx="10">
                  <c:v>2.1630470526081882</c:v>
                </c:pt>
                <c:pt idx="11">
                  <c:v>2.2495943459283154</c:v>
                </c:pt>
                <c:pt idx="12">
                  <c:v>2.3177195080156019</c:v>
                </c:pt>
                <c:pt idx="13">
                  <c:v>2.3680887980996652</c:v>
                </c:pt>
                <c:pt idx="14">
                  <c:v>2.4016586855012583</c:v>
                </c:pt>
                <c:pt idx="15">
                  <c:v>2.4196071241539454</c:v>
                </c:pt>
                <c:pt idx="16">
                  <c:v>2.4232674530897294</c:v>
                </c:pt>
                <c:pt idx="17">
                  <c:v>2.4140676895458415</c:v>
                </c:pt>
                <c:pt idx="18">
                  <c:v>2.3934771108096249</c:v>
                </c:pt>
                <c:pt idx="19">
                  <c:v>2.362961186545395</c:v>
                </c:pt>
                <c:pt idx="20">
                  <c:v>2.3419327929095175</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0-50BA-461A-B03E-E98B19430FFA}"/>
            </c:ext>
          </c:extLst>
        </c:ser>
        <c:ser>
          <c:idx val="1"/>
          <c:order val="1"/>
          <c:tx>
            <c:strRef>
              <c:f>Table!$Q$2</c:f>
              <c:strCache>
                <c:ptCount val="1"/>
                <c:pt idx="0">
                  <c:v>Barrows</c:v>
                </c:pt>
              </c:strCache>
            </c:strRef>
          </c:tx>
          <c:spPr>
            <a:ln w="25400" cap="rnd">
              <a:solidFill>
                <a:srgbClr val="0070C0"/>
              </a:solidFill>
              <a:round/>
            </a:ln>
            <a:effectLst/>
          </c:spPr>
          <c:marker>
            <c:symbol val="none"/>
          </c:marker>
          <c:xVal>
            <c:strRef>
              <c:f>Table!$R$5:$R$31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Table!$W$5:$W$31</c:f>
              <c:numCache>
                <c:formatCode>0.000</c:formatCode>
                <c:ptCount val="27"/>
                <c:pt idx="1">
                  <c:v>0.36017818442521204</c:v>
                </c:pt>
                <c:pt idx="2">
                  <c:v>0.70322663472500557</c:v>
                </c:pt>
                <c:pt idx="3">
                  <c:v>0.97957121968872585</c:v>
                </c:pt>
                <c:pt idx="4">
                  <c:v>1.1815239743118369</c:v>
                </c:pt>
                <c:pt idx="5">
                  <c:v>1.3796333273381356</c:v>
                </c:pt>
                <c:pt idx="6">
                  <c:v>1.629401108129451</c:v>
                </c:pt>
                <c:pt idx="7">
                  <c:v>1.8477309474455705</c:v>
                </c:pt>
                <c:pt idx="8">
                  <c:v>2.0035678464084037</c:v>
                </c:pt>
                <c:pt idx="9">
                  <c:v>2.139834641193151</c:v>
                </c:pt>
                <c:pt idx="10">
                  <c:v>2.2555641613180728</c:v>
                </c:pt>
                <c:pt idx="11">
                  <c:v>2.350395885340248</c:v>
                </c:pt>
                <c:pt idx="12">
                  <c:v>2.4245140141331012</c:v>
                </c:pt>
                <c:pt idx="13">
                  <c:v>2.4785708890705842</c:v>
                </c:pt>
                <c:pt idx="14">
                  <c:v>2.513601693881526</c:v>
                </c:pt>
                <c:pt idx="15">
                  <c:v>2.5309363207312083</c:v>
                </c:pt>
                <c:pt idx="16">
                  <c:v>2.5321135739765697</c:v>
                </c:pt>
                <c:pt idx="17">
                  <c:v>2.5188017997749301</c:v>
                </c:pt>
                <c:pt idx="18">
                  <c:v>2.4927287962469507</c:v>
                </c:pt>
                <c:pt idx="19">
                  <c:v>2.4556226544122484</c:v>
                </c:pt>
                <c:pt idx="20">
                  <c:v>2.4304589308309801</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1-50BA-461A-B03E-E98B19430FFA}"/>
            </c:ext>
          </c:extLst>
        </c:ser>
        <c:ser>
          <c:idx val="2"/>
          <c:order val="2"/>
          <c:tx>
            <c:strRef>
              <c:f>Table!$AE$2</c:f>
              <c:strCache>
                <c:ptCount val="1"/>
                <c:pt idx="0">
                  <c:v>Gilts</c:v>
                </c:pt>
              </c:strCache>
            </c:strRef>
          </c:tx>
          <c:spPr>
            <a:ln w="25400" cap="rnd">
              <a:solidFill>
                <a:srgbClr val="FF0000"/>
              </a:solidFill>
              <a:round/>
            </a:ln>
            <a:effectLst/>
          </c:spPr>
          <c:marker>
            <c:symbol val="none"/>
          </c:marker>
          <c:xVal>
            <c:strRef>
              <c:f>Table!$AF$5:$AF$31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Table!$AK$5:$AK$31</c:f>
              <c:numCache>
                <c:formatCode>0.000</c:formatCode>
                <c:ptCount val="27"/>
                <c:pt idx="1">
                  <c:v>0.36366053846290775</c:v>
                </c:pt>
                <c:pt idx="2">
                  <c:v>0.71002572533277764</c:v>
                </c:pt>
                <c:pt idx="3">
                  <c:v>0.98904212586683671</c:v>
                </c:pt>
                <c:pt idx="4">
                  <c:v>1.1929474445843229</c:v>
                </c:pt>
                <c:pt idx="5">
                  <c:v>1.392972202083318</c:v>
                </c:pt>
                <c:pt idx="6">
                  <c:v>1.5992550714138594</c:v>
                </c:pt>
                <c:pt idx="7">
                  <c:v>1.7361626951717628</c:v>
                </c:pt>
                <c:pt idx="8">
                  <c:v>1.8641796882652812</c:v>
                </c:pt>
                <c:pt idx="9">
                  <c:v>1.9757040981772096</c:v>
                </c:pt>
                <c:pt idx="10">
                  <c:v>2.0705299438982956</c:v>
                </c:pt>
                <c:pt idx="11">
                  <c:v>2.1487928065163828</c:v>
                </c:pt>
                <c:pt idx="12">
                  <c:v>2.2109250018981004</c:v>
                </c:pt>
                <c:pt idx="13">
                  <c:v>2.2576067071287418</c:v>
                </c:pt>
                <c:pt idx="14">
                  <c:v>2.289715677120991</c:v>
                </c:pt>
                <c:pt idx="15">
                  <c:v>2.3082779275766865</c:v>
                </c:pt>
                <c:pt idx="16">
                  <c:v>2.3144213322028935</c:v>
                </c:pt>
                <c:pt idx="17">
                  <c:v>2.3093335793167569</c:v>
                </c:pt>
                <c:pt idx="18">
                  <c:v>2.2942254253722916</c:v>
                </c:pt>
                <c:pt idx="19">
                  <c:v>2.2702997186785461</c:v>
                </c:pt>
                <c:pt idx="20">
                  <c:v>2.2534066549879697</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2-50BA-461A-B03E-E98B19430FFA}"/>
            </c:ext>
          </c:extLst>
        </c:ser>
        <c:dLbls>
          <c:showLegendKey val="0"/>
          <c:showVal val="0"/>
          <c:showCatName val="0"/>
          <c:showSerName val="0"/>
          <c:showPercent val="0"/>
          <c:showBubbleSize val="0"/>
        </c:dLbls>
        <c:axId val="785886808"/>
        <c:axId val="785888120"/>
      </c:scatterChart>
      <c:valAx>
        <c:axId val="78588680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Week</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8120"/>
        <c:crosses val="autoZero"/>
        <c:crossBetween val="midCat"/>
        <c:majorUnit val="2"/>
      </c:valAx>
      <c:valAx>
        <c:axId val="7858881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lbs</a:t>
                </a:r>
              </a:p>
            </c:rich>
          </c:tx>
          <c:layout>
            <c:manualLayout>
              <c:xMode val="edge"/>
              <c:yMode val="edge"/>
              <c:x val="0"/>
              <c:y val="0.4035969022816764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680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19050" cap="flat" cmpd="sng" algn="ctr">
      <a:solidFill>
        <a:schemeClr val="tx1"/>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r>
              <a:rPr lang="en-US" sz="1600" b="1"/>
              <a:t>Average Daily Feed Intake</a:t>
            </a:r>
          </a:p>
        </c:rich>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lineMarker"/>
        <c:varyColors val="0"/>
        <c:ser>
          <c:idx val="0"/>
          <c:order val="0"/>
          <c:tx>
            <c:strRef>
              <c:f>Table!$C$2</c:f>
              <c:strCache>
                <c:ptCount val="1"/>
                <c:pt idx="0">
                  <c:v>Mixed Gender</c:v>
                </c:pt>
              </c:strCache>
            </c:strRef>
          </c:tx>
          <c:spPr>
            <a:ln w="25400" cap="rnd">
              <a:solidFill>
                <a:srgbClr val="00B050"/>
              </a:solidFill>
              <a:prstDash val="sysDash"/>
              <a:round/>
            </a:ln>
            <a:effectLst/>
          </c:spPr>
          <c:marker>
            <c:symbol val="none"/>
          </c:marker>
          <c:xVal>
            <c:strRef>
              <c:f>Table!$D$5:$D$31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Table!$H$5:$H$31</c:f>
              <c:numCache>
                <c:formatCode>0.00</c:formatCode>
                <c:ptCount val="27"/>
                <c:pt idx="1">
                  <c:v>0.42368083510320048</c:v>
                </c:pt>
                <c:pt idx="2">
                  <c:v>0.90289065909833699</c:v>
                </c:pt>
                <c:pt idx="3">
                  <c:v>1.3763513821484001</c:v>
                </c:pt>
                <c:pt idx="4">
                  <c:v>1.7864231488892821</c:v>
                </c:pt>
                <c:pt idx="5">
                  <c:v>2.2227113358321078</c:v>
                </c:pt>
                <c:pt idx="6">
                  <c:v>2.7579129273202474</c:v>
                </c:pt>
                <c:pt idx="7">
                  <c:v>3.337438614910281</c:v>
                </c:pt>
                <c:pt idx="8">
                  <c:v>3.8923000683593423</c:v>
                </c:pt>
                <c:pt idx="9">
                  <c:v>4.4312925485557786</c:v>
                </c:pt>
                <c:pt idx="10">
                  <c:v>4.9399479353030751</c:v>
                </c:pt>
                <c:pt idx="11">
                  <c:v>5.4076785828900009</c:v>
                </c:pt>
                <c:pt idx="12">
                  <c:v>5.8280742629025566</c:v>
                </c:pt>
                <c:pt idx="13">
                  <c:v>6.1986121660692595</c:v>
                </c:pt>
                <c:pt idx="14">
                  <c:v>6.5199621099560963</c:v>
                </c:pt>
                <c:pt idx="15">
                  <c:v>6.7951034508236186</c:v>
                </c:pt>
                <c:pt idx="16">
                  <c:v>7.0284422234612771</c:v>
                </c:pt>
                <c:pt idx="17">
                  <c:v>7.2250550715497379</c:v>
                </c:pt>
                <c:pt idx="18">
                  <c:v>7.3901192707903727</c:v>
                </c:pt>
                <c:pt idx="19">
                  <c:v>7.528534552505219</c:v>
                </c:pt>
                <c:pt idx="20">
                  <c:v>7.5981971265039752</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0-3B9B-4227-AD71-0D38BD5F8E69}"/>
            </c:ext>
          </c:extLst>
        </c:ser>
        <c:ser>
          <c:idx val="1"/>
          <c:order val="1"/>
          <c:tx>
            <c:strRef>
              <c:f>Table!$Q$2</c:f>
              <c:strCache>
                <c:ptCount val="1"/>
                <c:pt idx="0">
                  <c:v>Barrows</c:v>
                </c:pt>
              </c:strCache>
            </c:strRef>
          </c:tx>
          <c:spPr>
            <a:ln w="25400" cap="rnd">
              <a:solidFill>
                <a:srgbClr val="0070C0"/>
              </a:solidFill>
              <a:round/>
            </a:ln>
            <a:effectLst/>
          </c:spPr>
          <c:marker>
            <c:symbol val="none"/>
          </c:marker>
          <c:xVal>
            <c:strRef>
              <c:f>Table!$R$5:$R$31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Table!$V$5:$V$31</c:f>
              <c:numCache>
                <c:formatCode>0.00</c:formatCode>
                <c:ptCount val="27"/>
                <c:pt idx="1">
                  <c:v>0.42164252654058443</c:v>
                </c:pt>
                <c:pt idx="2">
                  <c:v>0.89854689462030035</c:v>
                </c:pt>
                <c:pt idx="3">
                  <c:v>1.3697298204090829</c:v>
                </c:pt>
                <c:pt idx="4">
                  <c:v>1.7778287511749045</c:v>
                </c:pt>
                <c:pt idx="5">
                  <c:v>2.2120179761786161</c:v>
                </c:pt>
                <c:pt idx="6">
                  <c:v>2.7846142091609578</c:v>
                </c:pt>
                <c:pt idx="7">
                  <c:v>3.4414588589279846</c:v>
                </c:pt>
                <c:pt idx="8">
                  <c:v>4.0326735048835571</c:v>
                </c:pt>
                <c:pt idx="9">
                  <c:v>4.6067729444943968</c:v>
                </c:pt>
                <c:pt idx="10">
                  <c:v>5.1919122695672622</c:v>
                </c:pt>
                <c:pt idx="11">
                  <c:v>5.7693132550773623</c:v>
                </c:pt>
                <c:pt idx="12">
                  <c:v>6.2793866802427152</c:v>
                </c:pt>
                <c:pt idx="13">
                  <c:v>6.7169276551129071</c:v>
                </c:pt>
                <c:pt idx="14">
                  <c:v>7.0825885657727197</c:v>
                </c:pt>
                <c:pt idx="15">
                  <c:v>7.3812811428321821</c:v>
                </c:pt>
                <c:pt idx="16">
                  <c:v>7.6205174321874987</c:v>
                </c:pt>
                <c:pt idx="17">
                  <c:v>7.8089701493013379</c:v>
                </c:pt>
                <c:pt idx="18">
                  <c:v>7.9553897170120189</c:v>
                </c:pt>
                <c:pt idx="19">
                  <c:v>8.0678988036446029</c:v>
                </c:pt>
                <c:pt idx="20">
                  <c:v>8.1206930214950717</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1-3B9B-4227-AD71-0D38BD5F8E69}"/>
            </c:ext>
          </c:extLst>
        </c:ser>
        <c:ser>
          <c:idx val="2"/>
          <c:order val="2"/>
          <c:tx>
            <c:strRef>
              <c:f>Table!$AE$2</c:f>
              <c:strCache>
                <c:ptCount val="1"/>
                <c:pt idx="0">
                  <c:v>Gilts</c:v>
                </c:pt>
              </c:strCache>
            </c:strRef>
          </c:tx>
          <c:spPr>
            <a:ln w="25400" cap="rnd">
              <a:solidFill>
                <a:srgbClr val="FF0000"/>
              </a:solidFill>
              <a:round/>
            </a:ln>
            <a:effectLst/>
          </c:spPr>
          <c:marker>
            <c:symbol val="none"/>
          </c:marker>
          <c:xVal>
            <c:strRef>
              <c:f>Table!$AF$5:$AF$31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Table!$AJ$5:$AJ$31</c:f>
              <c:numCache>
                <c:formatCode>0.00</c:formatCode>
                <c:ptCount val="27"/>
                <c:pt idx="1">
                  <c:v>0.42571914366581681</c:v>
                </c:pt>
                <c:pt idx="2">
                  <c:v>0.90723442357637363</c:v>
                </c:pt>
                <c:pt idx="3">
                  <c:v>1.3829729438877172</c:v>
                </c:pt>
                <c:pt idx="4">
                  <c:v>1.7950175466036591</c:v>
                </c:pt>
                <c:pt idx="5">
                  <c:v>2.2334046954855986</c:v>
                </c:pt>
                <c:pt idx="6">
                  <c:v>2.7312116454795365</c:v>
                </c:pt>
                <c:pt idx="7">
                  <c:v>3.2334183708925806</c:v>
                </c:pt>
                <c:pt idx="8">
                  <c:v>3.7519266318351221</c:v>
                </c:pt>
                <c:pt idx="9">
                  <c:v>4.2544930535195586</c:v>
                </c:pt>
                <c:pt idx="10">
                  <c:v>4.6913465332644293</c:v>
                </c:pt>
                <c:pt idx="11">
                  <c:v>5.0562923427501101</c:v>
                </c:pt>
                <c:pt idx="12">
                  <c:v>5.3928683007982396</c:v>
                </c:pt>
                <c:pt idx="13">
                  <c:v>5.7007237364262036</c:v>
                </c:pt>
                <c:pt idx="14">
                  <c:v>5.9803799879831114</c:v>
                </c:pt>
                <c:pt idx="15">
                  <c:v>6.2329896170833399</c:v>
                </c:pt>
                <c:pt idx="16">
                  <c:v>6.4601302954555342</c:v>
                </c:pt>
                <c:pt idx="17">
                  <c:v>6.6636361940325006</c:v>
                </c:pt>
                <c:pt idx="18">
                  <c:v>6.8454658237565669</c:v>
                </c:pt>
                <c:pt idx="19">
                  <c:v>7.0076028447376659</c:v>
                </c:pt>
                <c:pt idx="20">
                  <c:v>7.0928407747592406</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2-3B9B-4227-AD71-0D38BD5F8E69}"/>
            </c:ext>
          </c:extLst>
        </c:ser>
        <c:dLbls>
          <c:showLegendKey val="0"/>
          <c:showVal val="0"/>
          <c:showCatName val="0"/>
          <c:showSerName val="0"/>
          <c:showPercent val="0"/>
          <c:showBubbleSize val="0"/>
        </c:dLbls>
        <c:axId val="785886808"/>
        <c:axId val="785888120"/>
      </c:scatterChart>
      <c:valAx>
        <c:axId val="78588680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Week</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8120"/>
        <c:crosses val="autoZero"/>
        <c:crossBetween val="midCat"/>
        <c:majorUnit val="2"/>
      </c:valAx>
      <c:valAx>
        <c:axId val="7858881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lbs</a:t>
                </a:r>
              </a:p>
            </c:rich>
          </c:tx>
          <c:layout>
            <c:manualLayout>
              <c:xMode val="edge"/>
              <c:yMode val="edge"/>
              <c:x val="0"/>
              <c:y val="0.4035969022816764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6808"/>
        <c:crosses val="autoZero"/>
        <c:crossBetween val="midCat"/>
        <c:majorUnit val="1.5"/>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19050" cap="flat" cmpd="sng" algn="ctr">
      <a:solidFill>
        <a:schemeClr val="tx1"/>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r>
              <a:rPr lang="en-US" sz="1600" b="1"/>
              <a:t>Feed Conversion</a:t>
            </a:r>
          </a:p>
        </c:rich>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lineMarker"/>
        <c:varyColors val="0"/>
        <c:ser>
          <c:idx val="0"/>
          <c:order val="0"/>
          <c:tx>
            <c:strRef>
              <c:f>Table!$C$2</c:f>
              <c:strCache>
                <c:ptCount val="1"/>
                <c:pt idx="0">
                  <c:v>Mixed Gender</c:v>
                </c:pt>
              </c:strCache>
            </c:strRef>
          </c:tx>
          <c:spPr>
            <a:ln w="25400" cap="rnd">
              <a:solidFill>
                <a:srgbClr val="00B050"/>
              </a:solidFill>
              <a:prstDash val="sysDash"/>
              <a:round/>
            </a:ln>
            <a:effectLst/>
          </c:spPr>
          <c:marker>
            <c:symbol val="none"/>
          </c:marker>
          <c:xVal>
            <c:strRef>
              <c:f>Table!$D$5:$D$31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Table!$J$5:$J$31</c:f>
              <c:numCache>
                <c:formatCode>0.000</c:formatCode>
                <c:ptCount val="27"/>
                <c:pt idx="1">
                  <c:v>1.1706498193760957</c:v>
                </c:pt>
                <c:pt idx="2">
                  <c:v>1.2777486662911652</c:v>
                </c:pt>
                <c:pt idx="3">
                  <c:v>1.3982952876507897</c:v>
                </c:pt>
                <c:pt idx="4">
                  <c:v>1.50469122068418</c:v>
                </c:pt>
                <c:pt idx="5">
                  <c:v>1.6033375914790962</c:v>
                </c:pt>
                <c:pt idx="6">
                  <c:v>1.7083967904630506</c:v>
                </c:pt>
                <c:pt idx="7">
                  <c:v>1.8624652111455708</c:v>
                </c:pt>
                <c:pt idx="8">
                  <c:v>2.0126960374044791</c:v>
                </c:pt>
                <c:pt idx="9">
                  <c:v>2.15344470271405</c:v>
                </c:pt>
                <c:pt idx="10">
                  <c:v>2.2837912514878109</c:v>
                </c:pt>
                <c:pt idx="11">
                  <c:v>2.4038460945982125</c:v>
                </c:pt>
                <c:pt idx="12">
                  <c:v>2.5145727266594351</c:v>
                </c:pt>
                <c:pt idx="13">
                  <c:v>2.617559008362988</c:v>
                </c:pt>
                <c:pt idx="14">
                  <c:v>2.7147746469208602</c:v>
                </c:pt>
                <c:pt idx="15">
                  <c:v>2.8083499106077543</c:v>
                </c:pt>
                <c:pt idx="16">
                  <c:v>2.9003988868417432</c:v>
                </c:pt>
                <c:pt idx="17">
                  <c:v>2.9928966378357797</c:v>
                </c:pt>
                <c:pt idx="18">
                  <c:v>3.0876080817378564</c:v>
                </c:pt>
                <c:pt idx="19">
                  <c:v>3.1860593374839965</c:v>
                </c:pt>
                <c:pt idx="20">
                  <c:v>3.2444129692826493</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0-6E7C-4A27-A3E4-A89A6F6D0CD2}"/>
            </c:ext>
          </c:extLst>
        </c:ser>
        <c:ser>
          <c:idx val="1"/>
          <c:order val="1"/>
          <c:tx>
            <c:strRef>
              <c:f>Table!$Q$2</c:f>
              <c:strCache>
                <c:ptCount val="1"/>
                <c:pt idx="0">
                  <c:v>Barrows</c:v>
                </c:pt>
              </c:strCache>
            </c:strRef>
          </c:tx>
          <c:spPr>
            <a:ln w="25400" cap="rnd">
              <a:solidFill>
                <a:srgbClr val="0070C0"/>
              </a:solidFill>
              <a:round/>
            </a:ln>
            <a:effectLst/>
          </c:spPr>
          <c:marker>
            <c:symbol val="none"/>
          </c:marker>
          <c:xVal>
            <c:strRef>
              <c:f>Table!$R$5:$R$31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Table!$X$5:$X$31</c:f>
              <c:numCache>
                <c:formatCode>0.000</c:formatCode>
                <c:ptCount val="27"/>
                <c:pt idx="1">
                  <c:v>1.1706498193760952</c:v>
                </c:pt>
                <c:pt idx="2">
                  <c:v>1.2777486662911652</c:v>
                </c:pt>
                <c:pt idx="3">
                  <c:v>1.3982952876507908</c:v>
                </c:pt>
                <c:pt idx="4">
                  <c:v>1.5046912206841825</c:v>
                </c:pt>
                <c:pt idx="5">
                  <c:v>1.6033375914790948</c:v>
                </c:pt>
                <c:pt idx="6">
                  <c:v>1.7089801861971783</c:v>
                </c:pt>
                <c:pt idx="7">
                  <c:v>1.862532455650912</c:v>
                </c:pt>
                <c:pt idx="8">
                  <c:v>2.0127461678487846</c:v>
                </c:pt>
                <c:pt idx="9">
                  <c:v>2.1528639904276456</c:v>
                </c:pt>
                <c:pt idx="10">
                  <c:v>2.3018242436221765</c:v>
                </c:pt>
                <c:pt idx="11">
                  <c:v>2.454613408345967</c:v>
                </c:pt>
                <c:pt idx="12">
                  <c:v>2.5899568505847328</c:v>
                </c:pt>
                <c:pt idx="13">
                  <c:v>2.7100002201799538</c:v>
                </c:pt>
                <c:pt idx="14">
                  <c:v>2.8177052008728256</c:v>
                </c:pt>
                <c:pt idx="15">
                  <c:v>2.9164230970061187</c:v>
                </c:pt>
                <c:pt idx="16">
                  <c:v>3.0095480354855573</c:v>
                </c:pt>
                <c:pt idx="17">
                  <c:v>3.1002717839883691</c:v>
                </c:pt>
                <c:pt idx="18">
                  <c:v>3.1914381255552726</c:v>
                </c:pt>
                <c:pt idx="19">
                  <c:v>3.2854798717336515</c:v>
                </c:pt>
                <c:pt idx="20">
                  <c:v>3.3412179561983324</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1-6E7C-4A27-A3E4-A89A6F6D0CD2}"/>
            </c:ext>
          </c:extLst>
        </c:ser>
        <c:ser>
          <c:idx val="2"/>
          <c:order val="2"/>
          <c:tx>
            <c:strRef>
              <c:f>Table!$AE$2</c:f>
              <c:strCache>
                <c:ptCount val="1"/>
                <c:pt idx="0">
                  <c:v>Gilts</c:v>
                </c:pt>
              </c:strCache>
            </c:strRef>
          </c:tx>
          <c:spPr>
            <a:ln w="25400" cap="rnd">
              <a:solidFill>
                <a:srgbClr val="FF0000"/>
              </a:solidFill>
              <a:round/>
            </a:ln>
            <a:effectLst/>
          </c:spPr>
          <c:marker>
            <c:symbol val="none"/>
          </c:marker>
          <c:xVal>
            <c:strRef>
              <c:f>Table!$AF$5:$AF$31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Table!$AL$5:$AL$31</c:f>
              <c:numCache>
                <c:formatCode>0.000</c:formatCode>
                <c:ptCount val="27"/>
                <c:pt idx="1">
                  <c:v>1.1706498193760961</c:v>
                </c:pt>
                <c:pt idx="2">
                  <c:v>1.277748666291165</c:v>
                </c:pt>
                <c:pt idx="3">
                  <c:v>1.3982952876507899</c:v>
                </c:pt>
                <c:pt idx="4">
                  <c:v>1.5046912206841809</c:v>
                </c:pt>
                <c:pt idx="5">
                  <c:v>1.6033375914790953</c:v>
                </c:pt>
                <c:pt idx="6">
                  <c:v>1.70780239769066</c:v>
                </c:pt>
                <c:pt idx="7">
                  <c:v>1.8623936454139112</c:v>
                </c:pt>
                <c:pt idx="8">
                  <c:v>2.0126421586142751</c:v>
                </c:pt>
                <c:pt idx="9">
                  <c:v>2.153405997104914</c:v>
                </c:pt>
                <c:pt idx="10">
                  <c:v>2.2657709187396655</c:v>
                </c:pt>
                <c:pt idx="11">
                  <c:v>2.353085103140939</c:v>
                </c:pt>
                <c:pt idx="12">
                  <c:v>2.4391909703714103</c:v>
                </c:pt>
                <c:pt idx="13">
                  <c:v>2.5251181786558696</c:v>
                </c:pt>
                <c:pt idx="14">
                  <c:v>2.6118439279337222</c:v>
                </c:pt>
                <c:pt idx="15">
                  <c:v>2.7002769218639791</c:v>
                </c:pt>
                <c:pt idx="16">
                  <c:v>2.7912507569685707</c:v>
                </c:pt>
                <c:pt idx="17">
                  <c:v>2.8855234487189221</c:v>
                </c:pt>
                <c:pt idx="18">
                  <c:v>2.9837808212092893</c:v>
                </c:pt>
                <c:pt idx="19">
                  <c:v>3.0866421675885691</c:v>
                </c:pt>
                <c:pt idx="20">
                  <c:v>3.1476079823670831</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2-6E7C-4A27-A3E4-A89A6F6D0CD2}"/>
            </c:ext>
          </c:extLst>
        </c:ser>
        <c:dLbls>
          <c:showLegendKey val="0"/>
          <c:showVal val="0"/>
          <c:showCatName val="0"/>
          <c:showSerName val="0"/>
          <c:showPercent val="0"/>
          <c:showBubbleSize val="0"/>
        </c:dLbls>
        <c:axId val="785886808"/>
        <c:axId val="785888120"/>
      </c:scatterChart>
      <c:valAx>
        <c:axId val="78588680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Week</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8120"/>
        <c:crosses val="autoZero"/>
        <c:crossBetween val="midCat"/>
        <c:majorUnit val="2"/>
      </c:valAx>
      <c:valAx>
        <c:axId val="7858881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F/G</a:t>
                </a:r>
              </a:p>
            </c:rich>
          </c:tx>
          <c:layout>
            <c:manualLayout>
              <c:xMode val="edge"/>
              <c:yMode val="edge"/>
              <c:x val="0"/>
              <c:y val="0.4035969022816764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6808"/>
        <c:crosses val="autoZero"/>
        <c:crossBetween val="midCat"/>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19050" cap="flat" cmpd="sng" algn="ctr">
      <a:solidFill>
        <a:schemeClr val="tx1"/>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r>
              <a:rPr lang="en-US" b="1"/>
              <a:t>Body weight</a:t>
            </a:r>
          </a:p>
        </c:rich>
      </c:tx>
      <c:overlay val="0"/>
      <c:spPr>
        <a:noFill/>
        <a:ln>
          <a:noFill/>
        </a:ln>
        <a:effectLst/>
      </c:spPr>
      <c:txPr>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0638559910937218"/>
          <c:y val="5.8424361343508271E-2"/>
          <c:w val="0.86591377379113743"/>
          <c:h val="0.83594617899214707"/>
        </c:manualLayout>
      </c:layout>
      <c:scatterChart>
        <c:scatterStyle val="smoothMarker"/>
        <c:varyColors val="0"/>
        <c:ser>
          <c:idx val="0"/>
          <c:order val="0"/>
          <c:tx>
            <c:strRef>
              <c:f>'E-Barrows'!$I$1</c:f>
              <c:strCache>
                <c:ptCount val="1"/>
                <c:pt idx="0">
                  <c:v>Barrows</c:v>
                </c:pt>
              </c:strCache>
            </c:strRef>
          </c:tx>
          <c:spPr>
            <a:ln w="28575" cap="rnd">
              <a:solidFill>
                <a:schemeClr val="accent1"/>
              </a:solidFill>
              <a:round/>
            </a:ln>
            <a:effectLst/>
          </c:spPr>
          <c:marker>
            <c:symbol val="none"/>
          </c:marker>
          <c:xVal>
            <c:numRef>
              <c:f>[0]!BarrowsAge2</c:f>
              <c:numCache>
                <c:formatCode>General</c:formatCode>
                <c:ptCount val="135"/>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53</c:v>
                </c:pt>
                <c:pt idx="33">
                  <c:v>54</c:v>
                </c:pt>
                <c:pt idx="34">
                  <c:v>55</c:v>
                </c:pt>
                <c:pt idx="35">
                  <c:v>56</c:v>
                </c:pt>
                <c:pt idx="36">
                  <c:v>57</c:v>
                </c:pt>
                <c:pt idx="37">
                  <c:v>58</c:v>
                </c:pt>
                <c:pt idx="38">
                  <c:v>59</c:v>
                </c:pt>
                <c:pt idx="39">
                  <c:v>60</c:v>
                </c:pt>
                <c:pt idx="40">
                  <c:v>61</c:v>
                </c:pt>
                <c:pt idx="41">
                  <c:v>62</c:v>
                </c:pt>
                <c:pt idx="42">
                  <c:v>63</c:v>
                </c:pt>
                <c:pt idx="43">
                  <c:v>64</c:v>
                </c:pt>
                <c:pt idx="44">
                  <c:v>65</c:v>
                </c:pt>
                <c:pt idx="45">
                  <c:v>66</c:v>
                </c:pt>
                <c:pt idx="46">
                  <c:v>67</c:v>
                </c:pt>
                <c:pt idx="47">
                  <c:v>68</c:v>
                </c:pt>
                <c:pt idx="48">
                  <c:v>69</c:v>
                </c:pt>
                <c:pt idx="49">
                  <c:v>70</c:v>
                </c:pt>
                <c:pt idx="50">
                  <c:v>71</c:v>
                </c:pt>
                <c:pt idx="51">
                  <c:v>72</c:v>
                </c:pt>
                <c:pt idx="52">
                  <c:v>73</c:v>
                </c:pt>
                <c:pt idx="53">
                  <c:v>74</c:v>
                </c:pt>
                <c:pt idx="54">
                  <c:v>75</c:v>
                </c:pt>
                <c:pt idx="55">
                  <c:v>76</c:v>
                </c:pt>
                <c:pt idx="56">
                  <c:v>77</c:v>
                </c:pt>
                <c:pt idx="57">
                  <c:v>78</c:v>
                </c:pt>
                <c:pt idx="58">
                  <c:v>79</c:v>
                </c:pt>
                <c:pt idx="59">
                  <c:v>80</c:v>
                </c:pt>
                <c:pt idx="60">
                  <c:v>81</c:v>
                </c:pt>
                <c:pt idx="61">
                  <c:v>82</c:v>
                </c:pt>
                <c:pt idx="62">
                  <c:v>83</c:v>
                </c:pt>
                <c:pt idx="63">
                  <c:v>84</c:v>
                </c:pt>
                <c:pt idx="64">
                  <c:v>85</c:v>
                </c:pt>
                <c:pt idx="65">
                  <c:v>86</c:v>
                </c:pt>
                <c:pt idx="66">
                  <c:v>87</c:v>
                </c:pt>
                <c:pt idx="67">
                  <c:v>88</c:v>
                </c:pt>
                <c:pt idx="68">
                  <c:v>89</c:v>
                </c:pt>
                <c:pt idx="69">
                  <c:v>90</c:v>
                </c:pt>
                <c:pt idx="70">
                  <c:v>91</c:v>
                </c:pt>
                <c:pt idx="71">
                  <c:v>92</c:v>
                </c:pt>
                <c:pt idx="72">
                  <c:v>93</c:v>
                </c:pt>
                <c:pt idx="73">
                  <c:v>94</c:v>
                </c:pt>
                <c:pt idx="74">
                  <c:v>95</c:v>
                </c:pt>
                <c:pt idx="75">
                  <c:v>96</c:v>
                </c:pt>
                <c:pt idx="76">
                  <c:v>97</c:v>
                </c:pt>
                <c:pt idx="77">
                  <c:v>98</c:v>
                </c:pt>
                <c:pt idx="78">
                  <c:v>99</c:v>
                </c:pt>
                <c:pt idx="79">
                  <c:v>100</c:v>
                </c:pt>
                <c:pt idx="80">
                  <c:v>101</c:v>
                </c:pt>
                <c:pt idx="81">
                  <c:v>102</c:v>
                </c:pt>
                <c:pt idx="82">
                  <c:v>103</c:v>
                </c:pt>
                <c:pt idx="83">
                  <c:v>104</c:v>
                </c:pt>
                <c:pt idx="84">
                  <c:v>105</c:v>
                </c:pt>
                <c:pt idx="85">
                  <c:v>106</c:v>
                </c:pt>
                <c:pt idx="86">
                  <c:v>107</c:v>
                </c:pt>
                <c:pt idx="87">
                  <c:v>108</c:v>
                </c:pt>
                <c:pt idx="88">
                  <c:v>109</c:v>
                </c:pt>
                <c:pt idx="89">
                  <c:v>110</c:v>
                </c:pt>
                <c:pt idx="90">
                  <c:v>111</c:v>
                </c:pt>
                <c:pt idx="91">
                  <c:v>112</c:v>
                </c:pt>
                <c:pt idx="92">
                  <c:v>113</c:v>
                </c:pt>
                <c:pt idx="93">
                  <c:v>114</c:v>
                </c:pt>
                <c:pt idx="94">
                  <c:v>115</c:v>
                </c:pt>
                <c:pt idx="95">
                  <c:v>116</c:v>
                </c:pt>
                <c:pt idx="96">
                  <c:v>117</c:v>
                </c:pt>
                <c:pt idx="97">
                  <c:v>118</c:v>
                </c:pt>
                <c:pt idx="98">
                  <c:v>119</c:v>
                </c:pt>
                <c:pt idx="99">
                  <c:v>120</c:v>
                </c:pt>
                <c:pt idx="100">
                  <c:v>121</c:v>
                </c:pt>
                <c:pt idx="101">
                  <c:v>122</c:v>
                </c:pt>
                <c:pt idx="102">
                  <c:v>123</c:v>
                </c:pt>
                <c:pt idx="103">
                  <c:v>124</c:v>
                </c:pt>
                <c:pt idx="104">
                  <c:v>125</c:v>
                </c:pt>
                <c:pt idx="105">
                  <c:v>126</c:v>
                </c:pt>
                <c:pt idx="106">
                  <c:v>127</c:v>
                </c:pt>
                <c:pt idx="107">
                  <c:v>128</c:v>
                </c:pt>
                <c:pt idx="108">
                  <c:v>129</c:v>
                </c:pt>
                <c:pt idx="109">
                  <c:v>130</c:v>
                </c:pt>
                <c:pt idx="110">
                  <c:v>131</c:v>
                </c:pt>
                <c:pt idx="111">
                  <c:v>132</c:v>
                </c:pt>
                <c:pt idx="112">
                  <c:v>133</c:v>
                </c:pt>
                <c:pt idx="113">
                  <c:v>134</c:v>
                </c:pt>
                <c:pt idx="114">
                  <c:v>135</c:v>
                </c:pt>
                <c:pt idx="115">
                  <c:v>136</c:v>
                </c:pt>
                <c:pt idx="116">
                  <c:v>137</c:v>
                </c:pt>
                <c:pt idx="117">
                  <c:v>138</c:v>
                </c:pt>
                <c:pt idx="118">
                  <c:v>139</c:v>
                </c:pt>
                <c:pt idx="119">
                  <c:v>140</c:v>
                </c:pt>
                <c:pt idx="120">
                  <c:v>141</c:v>
                </c:pt>
                <c:pt idx="121">
                  <c:v>142</c:v>
                </c:pt>
                <c:pt idx="122">
                  <c:v>143</c:v>
                </c:pt>
                <c:pt idx="123">
                  <c:v>144</c:v>
                </c:pt>
                <c:pt idx="124">
                  <c:v>145</c:v>
                </c:pt>
                <c:pt idx="125">
                  <c:v>146</c:v>
                </c:pt>
                <c:pt idx="126">
                  <c:v>147</c:v>
                </c:pt>
                <c:pt idx="127">
                  <c:v>148</c:v>
                </c:pt>
                <c:pt idx="128">
                  <c:v>149</c:v>
                </c:pt>
                <c:pt idx="129">
                  <c:v>150</c:v>
                </c:pt>
                <c:pt idx="130">
                  <c:v>151</c:v>
                </c:pt>
                <c:pt idx="131">
                  <c:v>152</c:v>
                </c:pt>
                <c:pt idx="132">
                  <c:v>153</c:v>
                </c:pt>
                <c:pt idx="133">
                  <c:v>154</c:v>
                </c:pt>
                <c:pt idx="134">
                  <c:v>155</c:v>
                </c:pt>
              </c:numCache>
            </c:numRef>
          </c:xVal>
          <c:yVal>
            <c:numRef>
              <c:f>[0]!BarrowsBW2</c:f>
              <c:numCache>
                <c:formatCode>0.00</c:formatCode>
                <c:ptCount val="135"/>
                <c:pt idx="0">
                  <c:v>5.9425449780322959</c:v>
                </c:pt>
                <c:pt idx="1">
                  <c:v>6.0312043586488446</c:v>
                </c:pt>
                <c:pt idx="2">
                  <c:v>6.1457977658647787</c:v>
                </c:pt>
                <c:pt idx="3">
                  <c:v>6.2857077228563014</c:v>
                </c:pt>
                <c:pt idx="4">
                  <c:v>6.4503167527996208</c:v>
                </c:pt>
                <c:pt idx="5">
                  <c:v>6.6390073788709403</c:v>
                </c:pt>
                <c:pt idx="6">
                  <c:v>6.8511621242464651</c:v>
                </c:pt>
                <c:pt idx="7">
                  <c:v>7.0861635121023996</c:v>
                </c:pt>
                <c:pt idx="8">
                  <c:v>7.3433940656149517</c:v>
                </c:pt>
                <c:pt idx="9">
                  <c:v>7.622236307960323</c:v>
                </c:pt>
                <c:pt idx="10">
                  <c:v>7.9220727623147207</c:v>
                </c:pt>
                <c:pt idx="11">
                  <c:v>8.2422859518543508</c:v>
                </c:pt>
                <c:pt idx="12">
                  <c:v>8.5822583997554158</c:v>
                </c:pt>
                <c:pt idx="13">
                  <c:v>8.9413726291941238</c:v>
                </c:pt>
                <c:pt idx="14">
                  <c:v>9.3190111633466763</c:v>
                </c:pt>
                <c:pt idx="15">
                  <c:v>9.7145565253892805</c:v>
                </c:pt>
                <c:pt idx="16">
                  <c:v>10.127391238498141</c:v>
                </c:pt>
                <c:pt idx="17">
                  <c:v>10.556897825849465</c:v>
                </c:pt>
                <c:pt idx="18">
                  <c:v>11.002458810619455</c:v>
                </c:pt>
                <c:pt idx="19">
                  <c:v>11.463456715984316</c:v>
                </c:pt>
                <c:pt idx="20">
                  <c:v>11.939274065120255</c:v>
                </c:pt>
                <c:pt idx="21">
                  <c:v>12.429293381203475</c:v>
                </c:pt>
                <c:pt idx="22">
                  <c:v>12.93028505171282</c:v>
                </c:pt>
                <c:pt idx="23">
                  <c:v>13.44249476606848</c:v>
                </c:pt>
                <c:pt idx="24">
                  <c:v>13.966173715088882</c:v>
                </c:pt>
                <c:pt idx="25">
                  <c:v>14.501578714176203</c:v>
                </c:pt>
                <c:pt idx="26">
                  <c:v>15.048972329260261</c:v>
                </c:pt>
                <c:pt idx="27">
                  <c:v>15.60862300556245</c:v>
                </c:pt>
                <c:pt idx="28">
                  <c:v>16.180805199242954</c:v>
                </c:pt>
                <c:pt idx="29">
                  <c:v>16.765799511995745</c:v>
                </c:pt>
                <c:pt idx="30">
                  <c:v>17.363892828657391</c:v>
                </c:pt>
                <c:pt idx="31">
                  <c:v>17.975378457897168</c:v>
                </c:pt>
                <c:pt idx="32">
                  <c:v>18.600556276057425</c:v>
                </c:pt>
                <c:pt idx="33">
                  <c:v>19.239732874214841</c:v>
                </c:pt>
                <c:pt idx="34">
                  <c:v>19.89322170853454</c:v>
                </c:pt>
                <c:pt idx="35">
                  <c:v>20.561343253990987</c:v>
                </c:pt>
                <c:pt idx="36">
                  <c:v>21.244425161530856</c:v>
                </c:pt>
                <c:pt idx="37">
                  <c:v>21.942802418755118</c:v>
                </c:pt>
                <c:pt idx="38">
                  <c:v>22.65681751419902</c:v>
                </c:pt>
                <c:pt idx="39">
                  <c:v>23.386411686162123</c:v>
                </c:pt>
                <c:pt idx="40">
                  <c:v>24.157720482159402</c:v>
                </c:pt>
                <c:pt idx="41">
                  <c:v>24.940610958849899</c:v>
                </c:pt>
                <c:pt idx="42">
                  <c:v>25.734930626210435</c:v>
                </c:pt>
                <c:pt idx="43">
                  <c:v>26.540523845064332</c:v>
                </c:pt>
                <c:pt idx="44">
                  <c:v>27.357231954388702</c:v>
                </c:pt>
                <c:pt idx="45">
                  <c:v>28.184893398714486</c:v>
                </c:pt>
                <c:pt idx="46">
                  <c:v>29.023343855536812</c:v>
                </c:pt>
                <c:pt idx="47">
                  <c:v>29.872416362651112</c:v>
                </c:pt>
                <c:pt idx="48">
                  <c:v>30.731941445326861</c:v>
                </c:pt>
                <c:pt idx="49">
                  <c:v>31.60174724322971</c:v>
                </c:pt>
                <c:pt idx="50">
                  <c:v>32.481659637001293</c:v>
                </c:pt>
                <c:pt idx="51">
                  <c:v>33.371502374404294</c:v>
                </c:pt>
                <c:pt idx="52">
                  <c:v>34.27109719594079</c:v>
                </c:pt>
                <c:pt idx="53">
                  <c:v>35.180263959850777</c:v>
                </c:pt>
                <c:pt idx="54">
                  <c:v>36.098820766398731</c:v>
                </c:pt>
                <c:pt idx="55">
                  <c:v>37.0265840813558</c:v>
                </c:pt>
                <c:pt idx="56">
                  <c:v>37.963368858586996</c:v>
                </c:pt>
                <c:pt idx="57">
                  <c:v>38.908988661652934</c:v>
                </c:pt>
                <c:pt idx="58">
                  <c:v>39.863255784337632</c:v>
                </c:pt>
                <c:pt idx="59">
                  <c:v>40.825981370015612</c:v>
                </c:pt>
                <c:pt idx="60">
                  <c:v>41.796975529772723</c:v>
                </c:pt>
                <c:pt idx="61">
                  <c:v>42.77604745919831</c:v>
                </c:pt>
                <c:pt idx="62">
                  <c:v>43.763005553767456</c:v>
                </c:pt>
                <c:pt idx="63">
                  <c:v>44.7576575227353</c:v>
                </c:pt>
                <c:pt idx="64">
                  <c:v>45.759810501467783</c:v>
                </c:pt>
                <c:pt idx="65">
                  <c:v>46.769271162135865</c:v>
                </c:pt>
                <c:pt idx="66">
                  <c:v>47.785845822703358</c:v>
                </c:pt>
                <c:pt idx="67">
                  <c:v>48.809340554141265</c:v>
                </c:pt>
                <c:pt idx="68">
                  <c:v>49.839561285804827</c:v>
                </c:pt>
                <c:pt idx="69">
                  <c:v>50.876313908912685</c:v>
                </c:pt>
                <c:pt idx="70">
                  <c:v>51.919404378070588</c:v>
                </c:pt>
                <c:pt idx="71">
                  <c:v>52.968638810785691</c:v>
                </c:pt>
                <c:pt idx="72">
                  <c:v>54.023823584920798</c:v>
                </c:pt>
                <c:pt idx="73">
                  <c:v>55.084765434041167</c:v>
                </c:pt>
                <c:pt idx="74">
                  <c:v>56.151271540610004</c:v>
                </c:pt>
                <c:pt idx="75">
                  <c:v>57.223149626992452</c:v>
                </c:pt>
                <c:pt idx="76">
                  <c:v>58.30020804423097</c:v>
                </c:pt>
                <c:pt idx="77">
                  <c:v>59.382255858558715</c:v>
                </c:pt>
                <c:pt idx="78">
                  <c:v>60.469102935620889</c:v>
                </c:pt>
                <c:pt idx="79">
                  <c:v>61.560560022377558</c:v>
                </c:pt>
                <c:pt idx="80">
                  <c:v>62.656438826664392</c:v>
                </c:pt>
                <c:pt idx="81">
                  <c:v>63.756552094392042</c:v>
                </c:pt>
                <c:pt idx="82">
                  <c:v>64.860713684367099</c:v>
                </c:pt>
                <c:pt idx="83">
                  <c:v>65.968738640721526</c:v>
                </c:pt>
                <c:pt idx="84">
                  <c:v>67.080443262940634</c:v>
                </c:pt>
                <c:pt idx="85">
                  <c:v>68.195645173482447</c:v>
                </c:pt>
                <c:pt idx="86">
                  <c:v>69.314163382984603</c:v>
                </c:pt>
                <c:pt idx="87">
                  <c:v>70.435818353058067</c:v>
                </c:pt>
                <c:pt idx="88">
                  <c:v>71.560432056669441</c:v>
                </c:pt>
                <c:pt idx="89">
                  <c:v>72.687828036116997</c:v>
                </c:pt>
                <c:pt idx="90">
                  <c:v>73.817831458607799</c:v>
                </c:pt>
                <c:pt idx="91">
                  <c:v>74.950269169446372</c:v>
                </c:pt>
                <c:pt idx="92">
                  <c:v>76.084969742847761</c:v>
                </c:pt>
                <c:pt idx="93">
                  <c:v>77.221763530389765</c:v>
                </c:pt>
                <c:pt idx="94">
                  <c:v>78.360482707123239</c:v>
                </c:pt>
                <c:pt idx="95">
                  <c:v>79.500961315358879</c:v>
                </c:pt>
                <c:pt idx="96">
                  <c:v>80.643035306153848</c:v>
                </c:pt>
                <c:pt idx="97">
                  <c:v>81.786542578521747</c:v>
                </c:pt>
                <c:pt idx="98">
                  <c:v>82.931323016392525</c:v>
                </c:pt>
                <c:pt idx="99">
                  <c:v>84.077218523350041</c:v>
                </c:pt>
                <c:pt idx="100">
                  <c:v>85.224073055177485</c:v>
                </c:pt>
                <c:pt idx="101">
                  <c:v>86.371732650241555</c:v>
                </c:pt>
                <c:pt idx="102">
                  <c:v>87.52004545774922</c:v>
                </c:pt>
                <c:pt idx="103">
                  <c:v>88.668861763910883</c:v>
                </c:pt>
                <c:pt idx="104">
                  <c:v>89.818034016046113</c:v>
                </c:pt>
                <c:pt idx="105">
                  <c:v>90.967416844669373</c:v>
                </c:pt>
                <c:pt idx="106">
                  <c:v>92.116867083593206</c:v>
                </c:pt>
                <c:pt idx="107">
                  <c:v>93.266243788089383</c:v>
                </c:pt>
                <c:pt idx="108">
                  <c:v>94.415408251147269</c:v>
                </c:pt>
                <c:pt idx="109">
                  <c:v>95.564224017871567</c:v>
                </c:pt>
                <c:pt idx="110">
                  <c:v>96.712556898060484</c:v>
                </c:pt>
                <c:pt idx="111">
                  <c:v>97.860274977008217</c:v>
                </c:pt>
                <c:pt idx="112">
                  <c:v>99.007248624573791</c:v>
                </c:pt>
                <c:pt idx="113">
                  <c:v>100.15335050256107</c:v>
                </c:pt>
                <c:pt idx="114">
                  <c:v>101.29845557045405</c:v>
                </c:pt>
                <c:pt idx="115">
                  <c:v>102.44244108955142</c:v>
                </c:pt>
                <c:pt idx="116">
                  <c:v>103.58518662554634</c:v>
                </c:pt>
                <c:pt idx="117">
                  <c:v>104.72657404959587</c:v>
                </c:pt>
                <c:pt idx="118">
                  <c:v>105.86648753792561</c:v>
                </c:pt>
                <c:pt idx="119">
                  <c:v>107.00481357001502</c:v>
                </c:pt>
                <c:pt idx="120">
                  <c:v>108.14144092540845</c:v>
                </c:pt>
                <c:pt idx="121">
                  <c:v>109.27626067919756</c:v>
                </c:pt>
                <c:pt idx="122">
                  <c:v>110.40916619622007</c:v>
                </c:pt>
                <c:pt idx="123">
                  <c:v>111.54005312402005</c:v>
                </c:pt>
                <c:pt idx="124">
                  <c:v>112.66881938461427</c:v>
                </c:pt>
                <c:pt idx="125">
                  <c:v>113.79536516510929</c:v>
                </c:pt>
                <c:pt idx="126">
                  <c:v>114.91959290721334</c:v>
                </c:pt>
                <c:pt idx="127">
                  <c:v>116.04140729568708</c:v>
                </c:pt>
                <c:pt idx="128">
                  <c:v>117.16071524577572</c:v>
                </c:pt>
                <c:pt idx="129">
                  <c:v>118.27742588966635</c:v>
                </c:pt>
                <c:pt idx="130">
                  <c:v>119.39145056201224</c:v>
                </c:pt>
                <c:pt idx="131">
                  <c:v>120.50270278456624</c:v>
                </c:pt>
                <c:pt idx="132">
                  <c:v>121.6110982499637</c:v>
                </c:pt>
                <c:pt idx="133">
                  <c:v>122.71655480469713</c:v>
                </c:pt>
                <c:pt idx="134">
                  <c:v>123.81899243132042</c:v>
                </c:pt>
              </c:numCache>
            </c:numRef>
          </c:yVal>
          <c:smooth val="1"/>
          <c:extLst>
            <c:ext xmlns:c16="http://schemas.microsoft.com/office/drawing/2014/chart" uri="{C3380CC4-5D6E-409C-BE32-E72D297353CC}">
              <c16:uniqueId val="{00000000-9AA2-46DB-86FF-B40F26625C31}"/>
            </c:ext>
          </c:extLst>
        </c:ser>
        <c:ser>
          <c:idx val="2"/>
          <c:order val="1"/>
          <c:tx>
            <c:strRef>
              <c:f>'E-Mixed'!$B$1</c:f>
              <c:strCache>
                <c:ptCount val="1"/>
                <c:pt idx="0">
                  <c:v>Mixed Gender</c:v>
                </c:pt>
              </c:strCache>
            </c:strRef>
          </c:tx>
          <c:spPr>
            <a:ln w="28575" cap="rnd">
              <a:solidFill>
                <a:schemeClr val="accent3"/>
              </a:solidFill>
              <a:round/>
            </a:ln>
            <a:effectLst/>
          </c:spPr>
          <c:marker>
            <c:symbol val="none"/>
          </c:marker>
          <c:xVal>
            <c:numRef>
              <c:f>[0]!MixedAge2</c:f>
              <c:numCache>
                <c:formatCode>General</c:formatCode>
                <c:ptCount val="135"/>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53</c:v>
                </c:pt>
                <c:pt idx="33">
                  <c:v>54</c:v>
                </c:pt>
                <c:pt idx="34">
                  <c:v>55</c:v>
                </c:pt>
                <c:pt idx="35">
                  <c:v>56</c:v>
                </c:pt>
                <c:pt idx="36">
                  <c:v>57</c:v>
                </c:pt>
                <c:pt idx="37">
                  <c:v>58</c:v>
                </c:pt>
                <c:pt idx="38">
                  <c:v>59</c:v>
                </c:pt>
                <c:pt idx="39">
                  <c:v>60</c:v>
                </c:pt>
                <c:pt idx="40">
                  <c:v>61</c:v>
                </c:pt>
                <c:pt idx="41">
                  <c:v>62</c:v>
                </c:pt>
                <c:pt idx="42">
                  <c:v>63</c:v>
                </c:pt>
                <c:pt idx="43">
                  <c:v>64</c:v>
                </c:pt>
                <c:pt idx="44">
                  <c:v>65</c:v>
                </c:pt>
                <c:pt idx="45">
                  <c:v>66</c:v>
                </c:pt>
                <c:pt idx="46">
                  <c:v>67</c:v>
                </c:pt>
                <c:pt idx="47">
                  <c:v>68</c:v>
                </c:pt>
                <c:pt idx="48">
                  <c:v>69</c:v>
                </c:pt>
                <c:pt idx="49">
                  <c:v>70</c:v>
                </c:pt>
                <c:pt idx="50">
                  <c:v>71</c:v>
                </c:pt>
                <c:pt idx="51">
                  <c:v>72</c:v>
                </c:pt>
                <c:pt idx="52">
                  <c:v>73</c:v>
                </c:pt>
                <c:pt idx="53">
                  <c:v>74</c:v>
                </c:pt>
                <c:pt idx="54">
                  <c:v>75</c:v>
                </c:pt>
                <c:pt idx="55">
                  <c:v>76</c:v>
                </c:pt>
                <c:pt idx="56">
                  <c:v>77</c:v>
                </c:pt>
                <c:pt idx="57">
                  <c:v>78</c:v>
                </c:pt>
                <c:pt idx="58">
                  <c:v>79</c:v>
                </c:pt>
                <c:pt idx="59">
                  <c:v>80</c:v>
                </c:pt>
                <c:pt idx="60">
                  <c:v>81</c:v>
                </c:pt>
                <c:pt idx="61">
                  <c:v>82</c:v>
                </c:pt>
                <c:pt idx="62">
                  <c:v>83</c:v>
                </c:pt>
                <c:pt idx="63">
                  <c:v>84</c:v>
                </c:pt>
                <c:pt idx="64">
                  <c:v>85</c:v>
                </c:pt>
                <c:pt idx="65">
                  <c:v>86</c:v>
                </c:pt>
                <c:pt idx="66">
                  <c:v>87</c:v>
                </c:pt>
                <c:pt idx="67">
                  <c:v>88</c:v>
                </c:pt>
                <c:pt idx="68">
                  <c:v>89</c:v>
                </c:pt>
                <c:pt idx="69">
                  <c:v>90</c:v>
                </c:pt>
                <c:pt idx="70">
                  <c:v>91</c:v>
                </c:pt>
                <c:pt idx="71">
                  <c:v>92</c:v>
                </c:pt>
                <c:pt idx="72">
                  <c:v>93</c:v>
                </c:pt>
                <c:pt idx="73">
                  <c:v>94</c:v>
                </c:pt>
                <c:pt idx="74">
                  <c:v>95</c:v>
                </c:pt>
                <c:pt idx="75">
                  <c:v>96</c:v>
                </c:pt>
                <c:pt idx="76">
                  <c:v>97</c:v>
                </c:pt>
                <c:pt idx="77">
                  <c:v>98</c:v>
                </c:pt>
                <c:pt idx="78">
                  <c:v>99</c:v>
                </c:pt>
                <c:pt idx="79">
                  <c:v>100</c:v>
                </c:pt>
                <c:pt idx="80">
                  <c:v>101</c:v>
                </c:pt>
                <c:pt idx="81">
                  <c:v>102</c:v>
                </c:pt>
                <c:pt idx="82">
                  <c:v>103</c:v>
                </c:pt>
                <c:pt idx="83">
                  <c:v>104</c:v>
                </c:pt>
                <c:pt idx="84">
                  <c:v>105</c:v>
                </c:pt>
                <c:pt idx="85">
                  <c:v>106</c:v>
                </c:pt>
                <c:pt idx="86">
                  <c:v>107</c:v>
                </c:pt>
                <c:pt idx="87">
                  <c:v>108</c:v>
                </c:pt>
                <c:pt idx="88">
                  <c:v>109</c:v>
                </c:pt>
                <c:pt idx="89">
                  <c:v>110</c:v>
                </c:pt>
                <c:pt idx="90">
                  <c:v>111</c:v>
                </c:pt>
                <c:pt idx="91">
                  <c:v>112</c:v>
                </c:pt>
                <c:pt idx="92">
                  <c:v>113</c:v>
                </c:pt>
                <c:pt idx="93">
                  <c:v>114</c:v>
                </c:pt>
                <c:pt idx="94">
                  <c:v>115</c:v>
                </c:pt>
                <c:pt idx="95">
                  <c:v>116</c:v>
                </c:pt>
                <c:pt idx="96">
                  <c:v>117</c:v>
                </c:pt>
                <c:pt idx="97">
                  <c:v>118</c:v>
                </c:pt>
                <c:pt idx="98">
                  <c:v>119</c:v>
                </c:pt>
                <c:pt idx="99">
                  <c:v>120</c:v>
                </c:pt>
                <c:pt idx="100">
                  <c:v>121</c:v>
                </c:pt>
                <c:pt idx="101">
                  <c:v>122</c:v>
                </c:pt>
                <c:pt idx="102">
                  <c:v>123</c:v>
                </c:pt>
                <c:pt idx="103">
                  <c:v>124</c:v>
                </c:pt>
                <c:pt idx="104">
                  <c:v>125</c:v>
                </c:pt>
                <c:pt idx="105">
                  <c:v>126</c:v>
                </c:pt>
                <c:pt idx="106">
                  <c:v>127</c:v>
                </c:pt>
                <c:pt idx="107">
                  <c:v>128</c:v>
                </c:pt>
                <c:pt idx="108">
                  <c:v>129</c:v>
                </c:pt>
                <c:pt idx="109">
                  <c:v>130</c:v>
                </c:pt>
                <c:pt idx="110">
                  <c:v>131</c:v>
                </c:pt>
                <c:pt idx="111">
                  <c:v>132</c:v>
                </c:pt>
                <c:pt idx="112">
                  <c:v>133</c:v>
                </c:pt>
                <c:pt idx="113">
                  <c:v>134</c:v>
                </c:pt>
                <c:pt idx="114">
                  <c:v>135</c:v>
                </c:pt>
                <c:pt idx="115">
                  <c:v>136</c:v>
                </c:pt>
                <c:pt idx="116">
                  <c:v>137</c:v>
                </c:pt>
                <c:pt idx="117">
                  <c:v>138</c:v>
                </c:pt>
                <c:pt idx="118">
                  <c:v>139</c:v>
                </c:pt>
                <c:pt idx="119">
                  <c:v>140</c:v>
                </c:pt>
                <c:pt idx="120">
                  <c:v>141</c:v>
                </c:pt>
                <c:pt idx="121">
                  <c:v>142</c:v>
                </c:pt>
                <c:pt idx="122">
                  <c:v>143</c:v>
                </c:pt>
                <c:pt idx="123">
                  <c:v>144</c:v>
                </c:pt>
                <c:pt idx="124">
                  <c:v>145</c:v>
                </c:pt>
                <c:pt idx="125">
                  <c:v>146</c:v>
                </c:pt>
                <c:pt idx="126">
                  <c:v>147</c:v>
                </c:pt>
                <c:pt idx="127">
                  <c:v>148</c:v>
                </c:pt>
                <c:pt idx="128">
                  <c:v>149</c:v>
                </c:pt>
                <c:pt idx="129">
                  <c:v>150</c:v>
                </c:pt>
                <c:pt idx="130">
                  <c:v>151</c:v>
                </c:pt>
                <c:pt idx="131">
                  <c:v>152</c:v>
                </c:pt>
                <c:pt idx="132">
                  <c:v>153</c:v>
                </c:pt>
                <c:pt idx="133">
                  <c:v>154</c:v>
                </c:pt>
                <c:pt idx="134">
                  <c:v>155</c:v>
                </c:pt>
              </c:numCache>
            </c:numRef>
          </c:xVal>
          <c:yVal>
            <c:numRef>
              <c:f>[0]!MixedBW2</c:f>
              <c:numCache>
                <c:formatCode>0.00</c:formatCode>
                <c:ptCount val="135"/>
                <c:pt idx="0">
                  <c:v>6</c:v>
                </c:pt>
                <c:pt idx="1">
                  <c:v>6.0890879786902508</c:v>
                </c:pt>
                <c:pt idx="2">
                  <c:v>6.2042353545133473</c:v>
                </c:pt>
                <c:pt idx="3">
                  <c:v>6.3448216656327858</c:v>
                </c:pt>
                <c:pt idx="4">
                  <c:v>6.5102264502120768</c:v>
                </c:pt>
                <c:pt idx="5">
                  <c:v>6.69982924641472</c:v>
                </c:pt>
                <c:pt idx="6">
                  <c:v>6.9130095924042214</c:v>
                </c:pt>
                <c:pt idx="7">
                  <c:v>7.1491470263440835</c:v>
                </c:pt>
                <c:pt idx="8">
                  <c:v>7.4076210863978105</c:v>
                </c:pt>
                <c:pt idx="9">
                  <c:v>7.6878113107289057</c:v>
                </c:pt>
                <c:pt idx="10">
                  <c:v>7.9890972375008733</c:v>
                </c:pt>
                <c:pt idx="11">
                  <c:v>8.3108584048772194</c:v>
                </c:pt>
                <c:pt idx="12">
                  <c:v>8.6524743510214428</c:v>
                </c:pt>
                <c:pt idx="13">
                  <c:v>9.0133246140970478</c:v>
                </c:pt>
                <c:pt idx="14">
                  <c:v>9.3927887322675438</c:v>
                </c:pt>
                <c:pt idx="15">
                  <c:v>9.7902462436964282</c:v>
                </c:pt>
                <c:pt idx="16">
                  <c:v>10.205076686547208</c:v>
                </c:pt>
                <c:pt idx="17">
                  <c:v>10.636659598983389</c:v>
                </c:pt>
                <c:pt idx="18">
                  <c:v>11.08437451916847</c:v>
                </c:pt>
                <c:pt idx="19">
                  <c:v>11.547600985265957</c:v>
                </c:pt>
                <c:pt idx="20">
                  <c:v>12.025718535439355</c:v>
                </c:pt>
                <c:pt idx="21">
                  <c:v>12.518106707852166</c:v>
                </c:pt>
                <c:pt idx="22">
                  <c:v>13.021520277357745</c:v>
                </c:pt>
                <c:pt idx="23">
                  <c:v>13.536206121090565</c:v>
                </c:pt>
                <c:pt idx="24">
                  <c:v>14.062416644178242</c:v>
                </c:pt>
                <c:pt idx="25">
                  <c:v>14.600409903522564</c:v>
                </c:pt>
                <c:pt idx="26">
                  <c:v>15.150449734352225</c:v>
                </c:pt>
                <c:pt idx="27">
                  <c:v>15.71280587960922</c:v>
                </c:pt>
                <c:pt idx="28">
                  <c:v>16.287754122232471</c:v>
                </c:pt>
                <c:pt idx="29">
                  <c:v>16.875576420403497</c:v>
                </c:pt>
                <c:pt idx="30">
                  <c:v>17.476561045820446</c:v>
                </c:pt>
                <c:pt idx="31">
                  <c:v>18.091002725068329</c:v>
                </c:pt>
                <c:pt idx="32">
                  <c:v>18.719202784154728</c:v>
                </c:pt>
                <c:pt idx="33">
                  <c:v>19.36146929628201</c:v>
                </c:pt>
                <c:pt idx="34">
                  <c:v>20.018117232928262</c:v>
                </c:pt>
                <c:pt idx="35">
                  <c:v>20.689468618311306</c:v>
                </c:pt>
                <c:pt idx="36">
                  <c:v>21.375852687311333</c:v>
                </c:pt>
                <c:pt idx="37">
                  <c:v>22.077606046929766</c:v>
                </c:pt>
                <c:pt idx="38">
                  <c:v>22.795072841363378</c:v>
                </c:pt>
                <c:pt idx="39">
                  <c:v>23.528194024845337</c:v>
                </c:pt>
                <c:pt idx="40">
                  <c:v>24.279978571820696</c:v>
                </c:pt>
                <c:pt idx="41">
                  <c:v>25.042361886562691</c:v>
                </c:pt>
                <c:pt idx="42">
                  <c:v>25.815196947691</c:v>
                </c:pt>
                <c:pt idx="43">
                  <c:v>26.598334463526566</c:v>
                </c:pt>
                <c:pt idx="44">
                  <c:v>27.391622975758104</c:v>
                </c:pt>
                <c:pt idx="45">
                  <c:v>28.194908962891979</c:v>
                </c:pt>
                <c:pt idx="46">
                  <c:v>29.008036943424592</c:v>
                </c:pt>
                <c:pt idx="47">
                  <c:v>29.830849578675302</c:v>
                </c:pt>
                <c:pt idx="48">
                  <c:v>30.663187775215619</c:v>
                </c:pt>
                <c:pt idx="49">
                  <c:v>31.504890786830554</c:v>
                </c:pt>
                <c:pt idx="50">
                  <c:v>32.355796315946755</c:v>
                </c:pt>
                <c:pt idx="51">
                  <c:v>33.215740614461993</c:v>
                </c:pt>
                <c:pt idx="52">
                  <c:v>34.084558583910592</c:v>
                </c:pt>
                <c:pt idx="53">
                  <c:v>34.96208387489947</c:v>
                </c:pt>
                <c:pt idx="54">
                  <c:v>35.848148985750264</c:v>
                </c:pt>
                <c:pt idx="55">
                  <c:v>36.742585360283307</c:v>
                </c:pt>
                <c:pt idx="56">
                  <c:v>37.645223484680592</c:v>
                </c:pt>
                <c:pt idx="57">
                  <c:v>38.555892983365545</c:v>
                </c:pt>
                <c:pt idx="58">
                  <c:v>39.474422713839076</c:v>
                </c:pt>
                <c:pt idx="59">
                  <c:v>40.400640860412537</c:v>
                </c:pt>
                <c:pt idx="60">
                  <c:v>41.334375026779924</c:v>
                </c:pt>
                <c:pt idx="61">
                  <c:v>42.27545232737338</c:v>
                </c:pt>
                <c:pt idx="62">
                  <c:v>43.223699477447909</c:v>
                </c:pt>
                <c:pt idx="63">
                  <c:v>44.178942881842943</c:v>
                </c:pt>
                <c:pt idx="64">
                  <c:v>45.141008722370863</c:v>
                </c:pt>
                <c:pt idx="65">
                  <c:v>46.109723043784157</c:v>
                </c:pt>
                <c:pt idx="66">
                  <c:v>47.084911838275637</c:v>
                </c:pt>
                <c:pt idx="67">
                  <c:v>48.066401128467909</c:v>
                </c:pt>
                <c:pt idx="68">
                  <c:v>49.054017048851073</c:v>
                </c:pt>
                <c:pt idx="69">
                  <c:v>50.047585925629484</c:v>
                </c:pt>
                <c:pt idx="70">
                  <c:v>51.046934354941378</c:v>
                </c:pt>
                <c:pt idx="71">
                  <c:v>52.051889279416983</c:v>
                </c:pt>
                <c:pt idx="72">
                  <c:v>53.062278063043777</c:v>
                </c:pt>
                <c:pt idx="73">
                  <c:v>54.077928564309673</c:v>
                </c:pt>
                <c:pt idx="74">
                  <c:v>55.09866920759714</c:v>
                </c:pt>
                <c:pt idx="75">
                  <c:v>56.124329052804697</c:v>
                </c:pt>
                <c:pt idx="76">
                  <c:v>57.154737863173288</c:v>
                </c:pt>
                <c:pt idx="77">
                  <c:v>58.18972617129895</c:v>
                </c:pt>
                <c:pt idx="78">
                  <c:v>59.229125343314294</c:v>
                </c:pt>
                <c:pt idx="79">
                  <c:v>60.272767641224874</c:v>
                </c:pt>
                <c:pt idx="80">
                  <c:v>61.320486283387936</c:v>
                </c:pt>
                <c:pt idx="81">
                  <c:v>62.372115503124206</c:v>
                </c:pt>
                <c:pt idx="82">
                  <c:v>63.427490605455077</c:v>
                </c:pt>
                <c:pt idx="83">
                  <c:v>64.48644802195993</c:v>
                </c:pt>
                <c:pt idx="84">
                  <c:v>65.548825363751163</c:v>
                </c:pt>
                <c:pt idx="85">
                  <c:v>66.614461472565523</c:v>
                </c:pt>
                <c:pt idx="86">
                  <c:v>67.683196469973424</c:v>
                </c:pt>
                <c:pt idx="87">
                  <c:v>68.75487180470995</c:v>
                </c:pt>
                <c:pt idx="88">
                  <c:v>69.82933029813212</c:v>
                </c:pt>
                <c:pt idx="89">
                  <c:v>70.906416187810777</c:v>
                </c:pt>
                <c:pt idx="90">
                  <c:v>71.9859751692656</c:v>
                </c:pt>
                <c:pt idx="91">
                  <c:v>73.067854435854514</c:v>
                </c:pt>
                <c:pt idx="92">
                  <c:v>74.151902716830364</c:v>
                </c:pt>
                <c:pt idx="93">
                  <c:v>75.237970313579126</c:v>
                </c:pt>
                <c:pt idx="94">
                  <c:v>76.325909134055976</c:v>
                </c:pt>
                <c:pt idx="95">
                  <c:v>77.415572725436576</c:v>
                </c:pt>
                <c:pt idx="96">
                  <c:v>78.506816305002587</c:v>
                </c:pt>
                <c:pt idx="97">
                  <c:v>79.599496789282341</c:v>
                </c:pt>
                <c:pt idx="98">
                  <c:v>80.693472821467722</c:v>
                </c:pt>
                <c:pt idx="99">
                  <c:v>81.788604797131015</c:v>
                </c:pt>
                <c:pt idx="100">
                  <c:v>82.884754888265434</c:v>
                </c:pt>
                <c:pt idx="101">
                  <c:v>83.981787065674723</c:v>
                </c:pt>
                <c:pt idx="102">
                  <c:v>85.079567119738485</c:v>
                </c:pt>
                <c:pt idx="103">
                  <c:v>86.17796267958019</c:v>
                </c:pt>
                <c:pt idx="104">
                  <c:v>87.276843230666159</c:v>
                </c:pt>
                <c:pt idx="105">
                  <c:v>88.376080130864835</c:v>
                </c:pt>
                <c:pt idx="106">
                  <c:v>89.475546624995644</c:v>
                </c:pt>
                <c:pt idx="107">
                  <c:v>90.575117857898576</c:v>
                </c:pt>
                <c:pt idx="108">
                  <c:v>91.674670886054855</c:v>
                </c:pt>
                <c:pt idx="109">
                  <c:v>92.774084687791046</c:v>
                </c:pt>
                <c:pt idx="110">
                  <c:v>93.873240172098434</c:v>
                </c:pt>
                <c:pt idx="111">
                  <c:v>94.97202018610038</c:v>
                </c:pt>
                <c:pt idx="112">
                  <c:v>96.07030952120067</c:v>
                </c:pt>
                <c:pt idx="113">
                  <c:v>97.167994917946046</c:v>
                </c:pt>
                <c:pt idx="114">
                  <c:v>98.264965069636901</c:v>
                </c:pt>
                <c:pt idx="115">
                  <c:v>99.361110624719302</c:v>
                </c:pt>
                <c:pt idx="116">
                  <c:v>100.45632418799291</c:v>
                </c:pt>
                <c:pt idx="117">
                  <c:v>101.55050032066856</c:v>
                </c:pt>
                <c:pt idx="118">
                  <c:v>102.64353553930961</c:v>
                </c:pt>
                <c:pt idx="119">
                  <c:v>103.73532831369133</c:v>
                </c:pt>
                <c:pt idx="120">
                  <c:v>104.82577906361227</c:v>
                </c:pt>
                <c:pt idx="121">
                  <c:v>105.91479015469183</c:v>
                </c:pt>
                <c:pt idx="122">
                  <c:v>107.0022658931876</c:v>
                </c:pt>
                <c:pt idx="123">
                  <c:v>108.0881125198667</c:v>
                </c:pt>
                <c:pt idx="124">
                  <c:v>109.17223820296418</c:v>
                </c:pt>
                <c:pt idx="125">
                  <c:v>110.25455303026199</c:v>
                </c:pt>
                <c:pt idx="126">
                  <c:v>111.33496900032156</c:v>
                </c:pt>
                <c:pt idx="127">
                  <c:v>112.41340001290301</c:v>
                </c:pt>
                <c:pt idx="128">
                  <c:v>113.48976185860258</c:v>
                </c:pt>
                <c:pt idx="129">
                  <c:v>114.56397220774132</c:v>
                </c:pt>
                <c:pt idx="130">
                  <c:v>115.63595059853606</c:v>
                </c:pt>
                <c:pt idx="131">
                  <c:v>116.70561842458424</c:v>
                </c:pt>
                <c:pt idx="132">
                  <c:v>117.77289892169298</c:v>
                </c:pt>
                <c:pt idx="133">
                  <c:v>118.83771715408352</c:v>
                </c:pt>
                <c:pt idx="134">
                  <c:v>119.90000000000005</c:v>
                </c:pt>
              </c:numCache>
            </c:numRef>
          </c:yVal>
          <c:smooth val="1"/>
          <c:extLst>
            <c:ext xmlns:c16="http://schemas.microsoft.com/office/drawing/2014/chart" uri="{C3380CC4-5D6E-409C-BE32-E72D297353CC}">
              <c16:uniqueId val="{00000001-9AA2-46DB-86FF-B40F26625C31}"/>
            </c:ext>
          </c:extLst>
        </c:ser>
        <c:ser>
          <c:idx val="3"/>
          <c:order val="2"/>
          <c:tx>
            <c:strRef>
              <c:f>'E-Gilts'!$I$1</c:f>
              <c:strCache>
                <c:ptCount val="1"/>
                <c:pt idx="0">
                  <c:v>Gilts</c:v>
                </c:pt>
              </c:strCache>
            </c:strRef>
          </c:tx>
          <c:spPr>
            <a:ln w="28575" cap="rnd">
              <a:solidFill>
                <a:schemeClr val="accent4"/>
              </a:solidFill>
              <a:round/>
            </a:ln>
            <a:effectLst/>
          </c:spPr>
          <c:marker>
            <c:symbol val="none"/>
          </c:marker>
          <c:xVal>
            <c:numRef>
              <c:f>[0]!GiltsAge2</c:f>
              <c:numCache>
                <c:formatCode>General</c:formatCode>
                <c:ptCount val="135"/>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53</c:v>
                </c:pt>
                <c:pt idx="33">
                  <c:v>54</c:v>
                </c:pt>
                <c:pt idx="34">
                  <c:v>55</c:v>
                </c:pt>
                <c:pt idx="35">
                  <c:v>56</c:v>
                </c:pt>
                <c:pt idx="36">
                  <c:v>57</c:v>
                </c:pt>
                <c:pt idx="37">
                  <c:v>58</c:v>
                </c:pt>
                <c:pt idx="38">
                  <c:v>59</c:v>
                </c:pt>
                <c:pt idx="39">
                  <c:v>60</c:v>
                </c:pt>
                <c:pt idx="40">
                  <c:v>61</c:v>
                </c:pt>
                <c:pt idx="41">
                  <c:v>62</c:v>
                </c:pt>
                <c:pt idx="42">
                  <c:v>63</c:v>
                </c:pt>
                <c:pt idx="43">
                  <c:v>64</c:v>
                </c:pt>
                <c:pt idx="44">
                  <c:v>65</c:v>
                </c:pt>
                <c:pt idx="45">
                  <c:v>66</c:v>
                </c:pt>
                <c:pt idx="46">
                  <c:v>67</c:v>
                </c:pt>
                <c:pt idx="47">
                  <c:v>68</c:v>
                </c:pt>
                <c:pt idx="48">
                  <c:v>69</c:v>
                </c:pt>
                <c:pt idx="49">
                  <c:v>70</c:v>
                </c:pt>
                <c:pt idx="50">
                  <c:v>71</c:v>
                </c:pt>
                <c:pt idx="51">
                  <c:v>72</c:v>
                </c:pt>
                <c:pt idx="52">
                  <c:v>73</c:v>
                </c:pt>
                <c:pt idx="53">
                  <c:v>74</c:v>
                </c:pt>
                <c:pt idx="54">
                  <c:v>75</c:v>
                </c:pt>
                <c:pt idx="55">
                  <c:v>76</c:v>
                </c:pt>
                <c:pt idx="56">
                  <c:v>77</c:v>
                </c:pt>
                <c:pt idx="57">
                  <c:v>78</c:v>
                </c:pt>
                <c:pt idx="58">
                  <c:v>79</c:v>
                </c:pt>
                <c:pt idx="59">
                  <c:v>80</c:v>
                </c:pt>
                <c:pt idx="60">
                  <c:v>81</c:v>
                </c:pt>
                <c:pt idx="61">
                  <c:v>82</c:v>
                </c:pt>
                <c:pt idx="62">
                  <c:v>83</c:v>
                </c:pt>
                <c:pt idx="63">
                  <c:v>84</c:v>
                </c:pt>
                <c:pt idx="64">
                  <c:v>85</c:v>
                </c:pt>
                <c:pt idx="65">
                  <c:v>86</c:v>
                </c:pt>
                <c:pt idx="66">
                  <c:v>87</c:v>
                </c:pt>
                <c:pt idx="67">
                  <c:v>88</c:v>
                </c:pt>
                <c:pt idx="68">
                  <c:v>89</c:v>
                </c:pt>
                <c:pt idx="69">
                  <c:v>90</c:v>
                </c:pt>
                <c:pt idx="70">
                  <c:v>91</c:v>
                </c:pt>
                <c:pt idx="71">
                  <c:v>92</c:v>
                </c:pt>
                <c:pt idx="72">
                  <c:v>93</c:v>
                </c:pt>
                <c:pt idx="73">
                  <c:v>94</c:v>
                </c:pt>
                <c:pt idx="74">
                  <c:v>95</c:v>
                </c:pt>
                <c:pt idx="75">
                  <c:v>96</c:v>
                </c:pt>
                <c:pt idx="76">
                  <c:v>97</c:v>
                </c:pt>
                <c:pt idx="77">
                  <c:v>98</c:v>
                </c:pt>
                <c:pt idx="78">
                  <c:v>99</c:v>
                </c:pt>
                <c:pt idx="79">
                  <c:v>100</c:v>
                </c:pt>
                <c:pt idx="80">
                  <c:v>101</c:v>
                </c:pt>
                <c:pt idx="81">
                  <c:v>102</c:v>
                </c:pt>
                <c:pt idx="82">
                  <c:v>103</c:v>
                </c:pt>
                <c:pt idx="83">
                  <c:v>104</c:v>
                </c:pt>
                <c:pt idx="84">
                  <c:v>105</c:v>
                </c:pt>
                <c:pt idx="85">
                  <c:v>106</c:v>
                </c:pt>
                <c:pt idx="86">
                  <c:v>107</c:v>
                </c:pt>
                <c:pt idx="87">
                  <c:v>108</c:v>
                </c:pt>
                <c:pt idx="88">
                  <c:v>109</c:v>
                </c:pt>
                <c:pt idx="89">
                  <c:v>110</c:v>
                </c:pt>
                <c:pt idx="90">
                  <c:v>111</c:v>
                </c:pt>
                <c:pt idx="91">
                  <c:v>112</c:v>
                </c:pt>
                <c:pt idx="92">
                  <c:v>113</c:v>
                </c:pt>
                <c:pt idx="93">
                  <c:v>114</c:v>
                </c:pt>
                <c:pt idx="94">
                  <c:v>115</c:v>
                </c:pt>
                <c:pt idx="95">
                  <c:v>116</c:v>
                </c:pt>
                <c:pt idx="96">
                  <c:v>117</c:v>
                </c:pt>
                <c:pt idx="97">
                  <c:v>118</c:v>
                </c:pt>
                <c:pt idx="98">
                  <c:v>119</c:v>
                </c:pt>
                <c:pt idx="99">
                  <c:v>120</c:v>
                </c:pt>
                <c:pt idx="100">
                  <c:v>121</c:v>
                </c:pt>
                <c:pt idx="101">
                  <c:v>122</c:v>
                </c:pt>
                <c:pt idx="102">
                  <c:v>123</c:v>
                </c:pt>
                <c:pt idx="103">
                  <c:v>124</c:v>
                </c:pt>
                <c:pt idx="104">
                  <c:v>125</c:v>
                </c:pt>
                <c:pt idx="105">
                  <c:v>126</c:v>
                </c:pt>
                <c:pt idx="106">
                  <c:v>127</c:v>
                </c:pt>
                <c:pt idx="107">
                  <c:v>128</c:v>
                </c:pt>
                <c:pt idx="108">
                  <c:v>129</c:v>
                </c:pt>
                <c:pt idx="109">
                  <c:v>130</c:v>
                </c:pt>
                <c:pt idx="110">
                  <c:v>131</c:v>
                </c:pt>
                <c:pt idx="111">
                  <c:v>132</c:v>
                </c:pt>
                <c:pt idx="112">
                  <c:v>133</c:v>
                </c:pt>
                <c:pt idx="113">
                  <c:v>134</c:v>
                </c:pt>
                <c:pt idx="114">
                  <c:v>135</c:v>
                </c:pt>
                <c:pt idx="115">
                  <c:v>136</c:v>
                </c:pt>
                <c:pt idx="116">
                  <c:v>137</c:v>
                </c:pt>
                <c:pt idx="117">
                  <c:v>138</c:v>
                </c:pt>
                <c:pt idx="118">
                  <c:v>139</c:v>
                </c:pt>
                <c:pt idx="119">
                  <c:v>140</c:v>
                </c:pt>
                <c:pt idx="120">
                  <c:v>141</c:v>
                </c:pt>
                <c:pt idx="121">
                  <c:v>142</c:v>
                </c:pt>
                <c:pt idx="122">
                  <c:v>143</c:v>
                </c:pt>
                <c:pt idx="123">
                  <c:v>144</c:v>
                </c:pt>
                <c:pt idx="124">
                  <c:v>145</c:v>
                </c:pt>
                <c:pt idx="125">
                  <c:v>146</c:v>
                </c:pt>
                <c:pt idx="126">
                  <c:v>147</c:v>
                </c:pt>
                <c:pt idx="127">
                  <c:v>148</c:v>
                </c:pt>
                <c:pt idx="128">
                  <c:v>149</c:v>
                </c:pt>
                <c:pt idx="129">
                  <c:v>150</c:v>
                </c:pt>
                <c:pt idx="130">
                  <c:v>151</c:v>
                </c:pt>
                <c:pt idx="131">
                  <c:v>152</c:v>
                </c:pt>
                <c:pt idx="132">
                  <c:v>153</c:v>
                </c:pt>
                <c:pt idx="133">
                  <c:v>154</c:v>
                </c:pt>
                <c:pt idx="134">
                  <c:v>155</c:v>
                </c:pt>
              </c:numCache>
            </c:numRef>
          </c:xVal>
          <c:yVal>
            <c:numRef>
              <c:f>[0]!GiltsBW2</c:f>
              <c:numCache>
                <c:formatCode>0.00</c:formatCode>
                <c:ptCount val="135"/>
                <c:pt idx="0">
                  <c:v>6.0580105212632942</c:v>
                </c:pt>
                <c:pt idx="1">
                  <c:v>6.1475270980272505</c:v>
                </c:pt>
                <c:pt idx="2">
                  <c:v>6.2632284424575069</c:v>
                </c:pt>
                <c:pt idx="3">
                  <c:v>6.404491107704863</c:v>
                </c:pt>
                <c:pt idx="4">
                  <c:v>6.5706916469201255</c:v>
                </c:pt>
                <c:pt idx="5">
                  <c:v>6.7612066132540933</c:v>
                </c:pt>
                <c:pt idx="6">
                  <c:v>6.9754125598575705</c:v>
                </c:pt>
                <c:pt idx="7">
                  <c:v>7.2126860398813593</c:v>
                </c:pt>
                <c:pt idx="8">
                  <c:v>7.4724036064762611</c:v>
                </c:pt>
                <c:pt idx="9">
                  <c:v>7.7539418127930801</c:v>
                </c:pt>
                <c:pt idx="10">
                  <c:v>8.0566772119826169</c:v>
                </c:pt>
                <c:pt idx="11">
                  <c:v>8.3799863571956763</c:v>
                </c:pt>
                <c:pt idx="12">
                  <c:v>8.7232458015830598</c:v>
                </c:pt>
                <c:pt idx="13">
                  <c:v>9.0858320982955671</c:v>
                </c:pt>
                <c:pt idx="14">
                  <c:v>9.467121800484005</c:v>
                </c:pt>
                <c:pt idx="15">
                  <c:v>9.8664914612991694</c:v>
                </c:pt>
                <c:pt idx="16">
                  <c:v>10.283317633891869</c:v>
                </c:pt>
                <c:pt idx="17">
                  <c:v>10.716976871412903</c:v>
                </c:pt>
                <c:pt idx="18">
                  <c:v>11.166845727013076</c:v>
                </c:pt>
                <c:pt idx="19">
                  <c:v>11.632300753843188</c:v>
                </c:pt>
                <c:pt idx="20">
                  <c:v>12.112718505054042</c:v>
                </c:pt>
                <c:pt idx="21">
                  <c:v>12.607475533796443</c:v>
                </c:pt>
                <c:pt idx="22">
                  <c:v>13.113311002298257</c:v>
                </c:pt>
                <c:pt idx="23">
                  <c:v>13.630472975408233</c:v>
                </c:pt>
                <c:pt idx="24">
                  <c:v>14.159215072563184</c:v>
                </c:pt>
                <c:pt idx="25">
                  <c:v>14.69979659216451</c:v>
                </c:pt>
                <c:pt idx="26">
                  <c:v>15.252482638739773</c:v>
                </c:pt>
                <c:pt idx="27">
                  <c:v>15.817544252951569</c:v>
                </c:pt>
                <c:pt idx="28">
                  <c:v>16.395258544517571</c:v>
                </c:pt>
                <c:pt idx="29">
                  <c:v>16.985908828106837</c:v>
                </c:pt>
                <c:pt idx="30">
                  <c:v>17.589784762279088</c:v>
                </c:pt>
                <c:pt idx="31">
                  <c:v>18.207182491535068</c:v>
                </c:pt>
                <c:pt idx="32">
                  <c:v>18.838404791547614</c:v>
                </c:pt>
                <c:pt idx="33">
                  <c:v>19.483761217644759</c:v>
                </c:pt>
                <c:pt idx="34">
                  <c:v>20.14356825661757</c:v>
                </c:pt>
                <c:pt idx="35">
                  <c:v>20.818149481927207</c:v>
                </c:pt>
                <c:pt idx="36">
                  <c:v>21.507835712387397</c:v>
                </c:pt>
                <c:pt idx="37">
                  <c:v>22.212965174399994</c:v>
                </c:pt>
                <c:pt idx="38">
                  <c:v>22.93388366782332</c:v>
                </c:pt>
                <c:pt idx="39">
                  <c:v>23.670531862824131</c:v>
                </c:pt>
                <c:pt idx="40">
                  <c:v>24.402792160777569</c:v>
                </c:pt>
                <c:pt idx="41">
                  <c:v>25.14466831357106</c:v>
                </c:pt>
                <c:pt idx="42">
                  <c:v>25.896018768467133</c:v>
                </c:pt>
                <c:pt idx="43">
                  <c:v>26.656700581284369</c:v>
                </c:pt>
                <c:pt idx="44">
                  <c:v>27.426569496423074</c:v>
                </c:pt>
                <c:pt idx="45">
                  <c:v>28.205480026365038</c:v>
                </c:pt>
                <c:pt idx="46">
                  <c:v>28.993285530607938</c:v>
                </c:pt>
                <c:pt idx="47">
                  <c:v>29.789838293995057</c:v>
                </c:pt>
                <c:pt idx="48">
                  <c:v>30.594989604399938</c:v>
                </c:pt>
                <c:pt idx="49">
                  <c:v>31.40858982972696</c:v>
                </c:pt>
                <c:pt idx="50">
                  <c:v>32.230488494187775</c:v>
                </c:pt>
                <c:pt idx="51">
                  <c:v>33.06053435381525</c:v>
                </c:pt>
                <c:pt idx="52">
                  <c:v>33.898575471175953</c:v>
                </c:pt>
                <c:pt idx="53">
                  <c:v>34.744459289243714</c:v>
                </c:pt>
                <c:pt idx="54">
                  <c:v>35.598032704397355</c:v>
                </c:pt>
                <c:pt idx="55">
                  <c:v>36.459142138506365</c:v>
                </c:pt>
                <c:pt idx="56">
                  <c:v>37.327633610069732</c:v>
                </c:pt>
                <c:pt idx="57">
                  <c:v>38.203352804373694</c:v>
                </c:pt>
                <c:pt idx="58">
                  <c:v>39.086145142636056</c:v>
                </c:pt>
                <c:pt idx="59">
                  <c:v>39.975855850105006</c:v>
                </c:pt>
                <c:pt idx="60">
                  <c:v>40.872330023082661</c:v>
                </c:pt>
                <c:pt idx="61">
                  <c:v>41.775412694843993</c:v>
                </c:pt>
                <c:pt idx="62">
                  <c:v>42.684948900423898</c:v>
                </c:pt>
                <c:pt idx="63">
                  <c:v>43.600783740246122</c:v>
                </c:pt>
                <c:pt idx="64">
                  <c:v>44.522762442569473</c:v>
                </c:pt>
                <c:pt idx="65">
                  <c:v>45.450730424727986</c:v>
                </c:pt>
                <c:pt idx="66">
                  <c:v>46.38453335314346</c:v>
                </c:pt>
                <c:pt idx="67">
                  <c:v>47.32401720209009</c:v>
                </c:pt>
                <c:pt idx="68">
                  <c:v>48.269028311192855</c:v>
                </c:pt>
                <c:pt idx="69">
                  <c:v>49.219413441641819</c:v>
                </c:pt>
                <c:pt idx="70">
                  <c:v>50.17501983110769</c:v>
                </c:pt>
                <c:pt idx="71">
                  <c:v>51.135695247343797</c:v>
                </c:pt>
                <c:pt idx="72">
                  <c:v>52.101288040462279</c:v>
                </c:pt>
                <c:pt idx="73">
                  <c:v>53.071647193873702</c:v>
                </c:pt>
                <c:pt idx="74">
                  <c:v>54.046622373879799</c:v>
                </c:pt>
                <c:pt idx="75">
                  <c:v>55.026063977912465</c:v>
                </c:pt>
                <c:pt idx="76">
                  <c:v>56.009823181411136</c:v>
                </c:pt>
                <c:pt idx="77">
                  <c:v>56.997751983334716</c:v>
                </c:pt>
                <c:pt idx="78">
                  <c:v>57.989703250303229</c:v>
                </c:pt>
                <c:pt idx="79">
                  <c:v>58.985530759367705</c:v>
                </c:pt>
                <c:pt idx="80">
                  <c:v>59.985089239407003</c:v>
                </c:pt>
                <c:pt idx="81">
                  <c:v>60.988234411151886</c:v>
                </c:pt>
                <c:pt idx="82">
                  <c:v>61.994823025838571</c:v>
                </c:pt>
                <c:pt idx="83">
                  <c:v>63.00471290249385</c:v>
                </c:pt>
                <c:pt idx="84">
                  <c:v>64.017762963857209</c:v>
                </c:pt>
                <c:pt idx="85">
                  <c:v>65.033833270944115</c:v>
                </c:pt>
                <c:pt idx="86">
                  <c:v>66.052785056257775</c:v>
                </c:pt>
                <c:pt idx="87">
                  <c:v>67.074480755657333</c:v>
                </c:pt>
                <c:pt idx="88">
                  <c:v>68.098784038890287</c:v>
                </c:pt>
                <c:pt idx="89">
                  <c:v>69.125559838800044</c:v>
                </c:pt>
                <c:pt idx="90">
                  <c:v>70.154674379218918</c:v>
                </c:pt>
                <c:pt idx="91">
                  <c:v>71.185995201558171</c:v>
                </c:pt>
                <c:pt idx="92">
                  <c:v>72.219391190108453</c:v>
                </c:pt>
                <c:pt idx="93">
                  <c:v>73.254732596063974</c:v>
                </c:pt>
                <c:pt idx="94">
                  <c:v>74.2918910602842</c:v>
                </c:pt>
                <c:pt idx="95">
                  <c:v>75.330739634809746</c:v>
                </c:pt>
                <c:pt idx="96">
                  <c:v>76.371152803146828</c:v>
                </c:pt>
                <c:pt idx="97">
                  <c:v>77.413006499338422</c:v>
                </c:pt>
                <c:pt idx="98">
                  <c:v>78.45617812583842</c:v>
                </c:pt>
                <c:pt idx="99">
                  <c:v>79.500546570207504</c:v>
                </c:pt>
                <c:pt idx="100">
                  <c:v>80.545992220648898</c:v>
                </c:pt>
                <c:pt idx="101">
                  <c:v>81.592396980403407</c:v>
                </c:pt>
                <c:pt idx="102">
                  <c:v>82.639644281023266</c:v>
                </c:pt>
                <c:pt idx="103">
                  <c:v>83.687619094545013</c:v>
                </c:pt>
                <c:pt idx="104">
                  <c:v>84.736207944581707</c:v>
                </c:pt>
                <c:pt idx="105">
                  <c:v>85.785298916355799</c:v>
                </c:pt>
                <c:pt idx="106">
                  <c:v>86.834781665693612</c:v>
                </c:pt>
                <c:pt idx="107">
                  <c:v>87.884547427003326</c:v>
                </c:pt>
                <c:pt idx="108">
                  <c:v>88.934489020257985</c:v>
                </c:pt>
                <c:pt idx="109">
                  <c:v>89.984500857006054</c:v>
                </c:pt>
                <c:pt idx="110">
                  <c:v>91.0344789454319</c:v>
                </c:pt>
                <c:pt idx="111">
                  <c:v>92.084320894488059</c:v>
                </c:pt>
                <c:pt idx="112">
                  <c:v>93.133925917123079</c:v>
                </c:pt>
                <c:pt idx="113">
                  <c:v>94.183194832626526</c:v>
                </c:pt>
                <c:pt idx="114">
                  <c:v>95.23203006811525</c:v>
                </c:pt>
                <c:pt idx="115">
                  <c:v>96.280335659182683</c:v>
                </c:pt>
                <c:pt idx="116">
                  <c:v>97.32801724973497</c:v>
                </c:pt>
                <c:pt idx="117">
                  <c:v>98.374982091036756</c:v>
                </c:pt>
                <c:pt idx="118">
                  <c:v>99.421139039989129</c:v>
                </c:pt>
                <c:pt idx="119">
                  <c:v>100.46639855666318</c:v>
                </c:pt>
                <c:pt idx="120">
                  <c:v>101.51067270111163</c:v>
                </c:pt>
                <c:pt idx="121">
                  <c:v>102.55387512948163</c:v>
                </c:pt>
                <c:pt idx="122">
                  <c:v>103.59592108945067</c:v>
                </c:pt>
                <c:pt idx="123">
                  <c:v>104.63672741500888</c:v>
                </c:pt>
                <c:pt idx="124">
                  <c:v>105.67621252060964</c:v>
                </c:pt>
                <c:pt idx="125">
                  <c:v>106.71429639471022</c:v>
                </c:pt>
                <c:pt idx="126">
                  <c:v>107.75090059272532</c:v>
                </c:pt>
                <c:pt idx="127">
                  <c:v>108.78594822941444</c:v>
                </c:pt>
                <c:pt idx="128">
                  <c:v>109.81936397072496</c:v>
                </c:pt>
                <c:pt idx="129">
                  <c:v>110.85107402511181</c:v>
                </c:pt>
                <c:pt idx="130">
                  <c:v>111.8810061343554</c:v>
                </c:pt>
                <c:pt idx="131">
                  <c:v>112.90908956389777</c:v>
                </c:pt>
                <c:pt idx="132">
                  <c:v>113.93525509271778</c:v>
                </c:pt>
                <c:pt idx="133">
                  <c:v>114.95943500276545</c:v>
                </c:pt>
                <c:pt idx="134">
                  <c:v>115.9815630679752</c:v>
                </c:pt>
              </c:numCache>
            </c:numRef>
          </c:yVal>
          <c:smooth val="1"/>
          <c:extLst>
            <c:ext xmlns:c16="http://schemas.microsoft.com/office/drawing/2014/chart" uri="{C3380CC4-5D6E-409C-BE32-E72D297353CC}">
              <c16:uniqueId val="{00000002-9AA2-46DB-86FF-B40F26625C31}"/>
            </c:ext>
          </c:extLst>
        </c:ser>
        <c:dLbls>
          <c:showLegendKey val="0"/>
          <c:showVal val="0"/>
          <c:showCatName val="0"/>
          <c:showSerName val="0"/>
          <c:showPercent val="0"/>
          <c:showBubbleSize val="0"/>
        </c:dLbls>
        <c:axId val="323398704"/>
        <c:axId val="323399032"/>
      </c:scatterChart>
      <c:valAx>
        <c:axId val="323398704"/>
        <c:scaling>
          <c:orientation val="minMax"/>
          <c:min val="20"/>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Age, days</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9032"/>
        <c:crosses val="autoZero"/>
        <c:crossBetween val="midCat"/>
      </c:valAx>
      <c:valAx>
        <c:axId val="323399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kg</a:t>
                </a:r>
              </a:p>
            </c:rich>
          </c:tx>
          <c:layout>
            <c:manualLayout>
              <c:xMode val="edge"/>
              <c:yMode val="edge"/>
              <c:x val="0"/>
              <c:y val="0.49409719896799048"/>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8704"/>
        <c:crosses val="autoZero"/>
        <c:crossBetween val="midCat"/>
      </c:valAx>
      <c:spPr>
        <a:noFill/>
        <a:ln>
          <a:noFill/>
        </a:ln>
        <a:effectLst/>
      </c:spPr>
    </c:plotArea>
    <c:legend>
      <c:legendPos val="t"/>
      <c:layout>
        <c:manualLayout>
          <c:xMode val="edge"/>
          <c:yMode val="edge"/>
          <c:x val="0.29953460142283622"/>
          <c:y val="9.6202995889183351E-2"/>
          <c:w val="0.39798875537733425"/>
          <c:h val="4.6413479906749204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6.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D220ECB-3D6F-4005-A317-64DC2E760EA4}">
  <sheetPr codeName="Chart18"/>
  <sheetViews>
    <sheetView zoomScale="70" workbookViewId="0" zoomToFit="1"/>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5A0A1B6-5051-44A7-A2E2-1D9A80542BDF}">
  <sheetPr codeName="Chart19"/>
  <sheetViews>
    <sheetView zoomScale="77" workbookViewId="0" zoomToFit="1"/>
  </sheetViews>
  <pageMargins left="0.7" right="0.7" top="0.75" bottom="0.75"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37DAA1E-CB04-483D-8244-988F6F131049}">
  <sheetPr codeName="Chart20"/>
  <sheetViews>
    <sheetView zoomScale="70" workbookViewId="0" zoomToFit="1"/>
  </sheetViews>
  <pageMargins left="0.7" right="0.7" top="0.75" bottom="0.75"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16E06A6-5A36-480C-84AC-953FE0E5A5FA}">
  <sheetPr codeName="Chart21"/>
  <sheetViews>
    <sheetView zoomScale="70" workbookViewId="0" zoomToFit="1"/>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7</xdr:col>
      <xdr:colOff>184785</xdr:colOff>
      <xdr:row>15</xdr:row>
      <xdr:rowOff>94297</xdr:rowOff>
    </xdr:from>
    <xdr:to>
      <xdr:col>14</xdr:col>
      <xdr:colOff>489585</xdr:colOff>
      <xdr:row>29</xdr:row>
      <xdr:rowOff>170497</xdr:rowOff>
    </xdr:to>
    <xdr:graphicFrame macro="">
      <xdr:nvGraphicFramePr>
        <xdr:cNvPr id="2" name="Chart 1">
          <a:extLst>
            <a:ext uri="{FF2B5EF4-FFF2-40B4-BE49-F238E27FC236}">
              <a16:creationId xmlns:a16="http://schemas.microsoft.com/office/drawing/2014/main" id="{76944796-8BD8-4933-A565-360CD1F894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179070</xdr:colOff>
      <xdr:row>0</xdr:row>
      <xdr:rowOff>114300</xdr:rowOff>
    </xdr:from>
    <xdr:to>
      <xdr:col>14</xdr:col>
      <xdr:colOff>483870</xdr:colOff>
      <xdr:row>15</xdr:row>
      <xdr:rowOff>7620</xdr:rowOff>
    </xdr:to>
    <xdr:graphicFrame macro="">
      <xdr:nvGraphicFramePr>
        <xdr:cNvPr id="3" name="Chart 2">
          <a:extLst>
            <a:ext uri="{FF2B5EF4-FFF2-40B4-BE49-F238E27FC236}">
              <a16:creationId xmlns:a16="http://schemas.microsoft.com/office/drawing/2014/main" id="{E60E2A12-230A-48C8-A268-955B1EBC17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28575</xdr:colOff>
      <xdr:row>0</xdr:row>
      <xdr:rowOff>9525</xdr:rowOff>
    </xdr:from>
    <xdr:to>
      <xdr:col>21</xdr:col>
      <xdr:colOff>333375</xdr:colOff>
      <xdr:row>14</xdr:row>
      <xdr:rowOff>85725</xdr:rowOff>
    </xdr:to>
    <xdr:graphicFrame macro="">
      <xdr:nvGraphicFramePr>
        <xdr:cNvPr id="4" name="Chart 3">
          <a:extLst>
            <a:ext uri="{FF2B5EF4-FFF2-40B4-BE49-F238E27FC236}">
              <a16:creationId xmlns:a16="http://schemas.microsoft.com/office/drawing/2014/main" id="{CD33E7B9-6869-4ADD-8472-A5E1DDC7CB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518160</xdr:colOff>
      <xdr:row>15</xdr:row>
      <xdr:rowOff>89535</xdr:rowOff>
    </xdr:from>
    <xdr:to>
      <xdr:col>22</xdr:col>
      <xdr:colOff>213360</xdr:colOff>
      <xdr:row>29</xdr:row>
      <xdr:rowOff>167640</xdr:rowOff>
    </xdr:to>
    <xdr:graphicFrame macro="">
      <xdr:nvGraphicFramePr>
        <xdr:cNvPr id="5" name="Chart 4">
          <a:extLst>
            <a:ext uri="{FF2B5EF4-FFF2-40B4-BE49-F238E27FC236}">
              <a16:creationId xmlns:a16="http://schemas.microsoft.com/office/drawing/2014/main" id="{939598F2-304E-4E8A-BCB2-DD4395FD47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absoluteAnchor>
    <xdr:pos x="0" y="0"/>
    <xdr:ext cx="8654143" cy="6272893"/>
    <xdr:graphicFrame macro="">
      <xdr:nvGraphicFramePr>
        <xdr:cNvPr id="2" name="Chart 1">
          <a:extLst>
            <a:ext uri="{FF2B5EF4-FFF2-40B4-BE49-F238E27FC236}">
              <a16:creationId xmlns:a16="http://schemas.microsoft.com/office/drawing/2014/main" id="{F7B04139-0CEB-4F21-BF79-5EF1E3B8419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54143" cy="6272893"/>
    <xdr:graphicFrame macro="">
      <xdr:nvGraphicFramePr>
        <xdr:cNvPr id="2" name="Chart 1">
          <a:extLst>
            <a:ext uri="{FF2B5EF4-FFF2-40B4-BE49-F238E27FC236}">
              <a16:creationId xmlns:a16="http://schemas.microsoft.com/office/drawing/2014/main" id="{A896212B-03B0-40C7-8A33-E5A9C9DD7D7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oneCellAnchor>
    <xdr:from>
      <xdr:col>0</xdr:col>
      <xdr:colOff>538787</xdr:colOff>
      <xdr:row>2</xdr:row>
      <xdr:rowOff>92363</xdr:rowOff>
    </xdr:from>
    <xdr:ext cx="7781637" cy="9745602"/>
    <xdr:sp macro="" textlink="">
      <xdr:nvSpPr>
        <xdr:cNvPr id="7" name="TextBox 6">
          <a:extLst>
            <a:ext uri="{FF2B5EF4-FFF2-40B4-BE49-F238E27FC236}">
              <a16:creationId xmlns:a16="http://schemas.microsoft.com/office/drawing/2014/main" id="{CF08200D-87ED-42FF-B6A1-099999F8EB22}"/>
            </a:ext>
          </a:extLst>
        </xdr:cNvPr>
        <xdr:cNvSpPr txBox="1"/>
      </xdr:nvSpPr>
      <xdr:spPr>
        <a:xfrm>
          <a:off x="538787" y="1357827"/>
          <a:ext cx="7781637" cy="9745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1400" b="1" i="0" u="none" strike="noStrike" baseline="0">
              <a:solidFill>
                <a:schemeClr val="tx1"/>
              </a:solidFill>
              <a:effectLst/>
              <a:latin typeface="+mn-lt"/>
              <a:ea typeface="+mn-ea"/>
              <a:cs typeface="+mn-cs"/>
            </a:rPr>
            <a:t>Калькулятор кормового бюджета </a:t>
          </a:r>
          <a:endParaRPr lang="en-US" sz="1400" b="1" i="0" u="none" strike="noStrike" baseline="0">
            <a:solidFill>
              <a:schemeClr val="tx1"/>
            </a:solidFill>
            <a:effectLst/>
            <a:latin typeface="+mn-lt"/>
            <a:ea typeface="+mn-ea"/>
            <a:cs typeface="+mn-cs"/>
          </a:endParaRPr>
        </a:p>
        <a:p>
          <a:r>
            <a:rPr lang="ru-RU" sz="1400" b="0" i="0" u="none" strike="noStrike">
              <a:solidFill>
                <a:schemeClr val="tx1"/>
              </a:solidFill>
              <a:effectLst/>
              <a:latin typeface="+mn-lt"/>
              <a:ea typeface="+mn-ea"/>
              <a:cs typeface="+mn-cs"/>
            </a:rPr>
            <a:t>Инструмент расчета кормового</a:t>
          </a:r>
          <a:r>
            <a:rPr lang="ru-RU" sz="1400" b="0" i="0" u="none" strike="noStrike" baseline="0">
              <a:solidFill>
                <a:schemeClr val="tx1"/>
              </a:solidFill>
              <a:effectLst/>
              <a:latin typeface="+mn-lt"/>
              <a:ea typeface="+mn-ea"/>
              <a:cs typeface="+mn-cs"/>
            </a:rPr>
            <a:t> бюджета</a:t>
          </a:r>
          <a:r>
            <a:rPr lang="ru-RU" sz="1400" b="0" i="0" u="none" strike="noStrike">
              <a:solidFill>
                <a:schemeClr val="tx1"/>
              </a:solidFill>
              <a:effectLst/>
              <a:latin typeface="+mn-lt"/>
              <a:ea typeface="+mn-ea"/>
              <a:cs typeface="+mn-cs"/>
            </a:rPr>
            <a:t> </a:t>
          </a:r>
          <a:r>
            <a:rPr lang="en-US" sz="1400" b="0" i="0" u="none" strike="noStrike">
              <a:solidFill>
                <a:schemeClr val="tx1"/>
              </a:solidFill>
              <a:effectLst/>
              <a:latin typeface="+mn-lt"/>
              <a:ea typeface="+mn-ea"/>
              <a:cs typeface="+mn-cs"/>
            </a:rPr>
            <a:t>PIC </a:t>
          </a:r>
          <a:r>
            <a:rPr lang="ru-RU" sz="1400" b="0" i="0" u="none" strike="noStrike">
              <a:solidFill>
                <a:schemeClr val="tx1"/>
              </a:solidFill>
              <a:effectLst/>
              <a:latin typeface="+mn-lt"/>
              <a:ea typeface="+mn-ea"/>
              <a:cs typeface="+mn-cs"/>
            </a:rPr>
            <a:t>был разработан, чтобы помочь определить правильное количество и расход корма на</a:t>
          </a:r>
          <a:r>
            <a:rPr lang="ru-RU" sz="1400" b="0" i="0" u="none" strike="noStrike" baseline="0">
              <a:solidFill>
                <a:schemeClr val="tx1"/>
              </a:solidFill>
              <a:effectLst/>
              <a:latin typeface="+mn-lt"/>
              <a:ea typeface="+mn-ea"/>
              <a:cs typeface="+mn-cs"/>
            </a:rPr>
            <a:t> голову</a:t>
          </a:r>
          <a:r>
            <a:rPr lang="ru-RU" sz="1400" b="0" i="0" u="none" strike="noStrike">
              <a:solidFill>
                <a:schemeClr val="tx1"/>
              </a:solidFill>
              <a:effectLst/>
              <a:latin typeface="+mn-lt"/>
              <a:ea typeface="+mn-ea"/>
              <a:cs typeface="+mn-cs"/>
            </a:rPr>
            <a:t> в соответствии с уровнями и фазами потребления энергии в рационе,  целевому</a:t>
          </a:r>
          <a:r>
            <a:rPr lang="ru-RU" sz="1400" b="0" i="0" u="none" strike="noStrike" baseline="0">
              <a:solidFill>
                <a:schemeClr val="tx1"/>
              </a:solidFill>
              <a:effectLst/>
              <a:latin typeface="+mn-lt"/>
              <a:ea typeface="+mn-ea"/>
              <a:cs typeface="+mn-cs"/>
            </a:rPr>
            <a:t> диапазону</a:t>
          </a:r>
          <a:r>
            <a:rPr lang="ru-RU" sz="1400" b="0" i="0" u="none" strike="noStrike">
              <a:solidFill>
                <a:schemeClr val="tx1"/>
              </a:solidFill>
              <a:effectLst/>
              <a:latin typeface="+mn-lt"/>
              <a:ea typeface="+mn-ea"/>
              <a:cs typeface="+mn-cs"/>
            </a:rPr>
            <a:t> веса</a:t>
          </a:r>
          <a:r>
            <a:rPr lang="ru-RU" sz="1400" b="0" i="0" u="none" strike="noStrike" baseline="0">
              <a:solidFill>
                <a:schemeClr val="tx1"/>
              </a:solidFill>
              <a:effectLst/>
              <a:latin typeface="+mn-lt"/>
              <a:ea typeface="+mn-ea"/>
              <a:cs typeface="+mn-cs"/>
            </a:rPr>
            <a:t> реализации</a:t>
          </a:r>
          <a:r>
            <a:rPr lang="ru-RU" sz="1400" b="0" i="0" u="none" strike="noStrike">
              <a:solidFill>
                <a:schemeClr val="tx1"/>
              </a:solidFill>
              <a:effectLst/>
              <a:latin typeface="+mn-lt"/>
              <a:ea typeface="+mn-ea"/>
              <a:cs typeface="+mn-cs"/>
            </a:rPr>
            <a:t> и характеристиками конкретного клиента</a:t>
          </a:r>
          <a:r>
            <a:rPr lang="en-US" sz="1400" b="0" i="0" u="none" strike="noStrike">
              <a:solidFill>
                <a:schemeClr val="tx1"/>
              </a:solidFill>
              <a:effectLst/>
              <a:latin typeface="+mn-lt"/>
              <a:ea typeface="+mn-ea"/>
              <a:cs typeface="+mn-cs"/>
            </a:rPr>
            <a:t>.</a:t>
          </a:r>
        </a:p>
        <a:p>
          <a:endParaRPr lang="en-US" sz="1400" b="1" i="0" u="none" strike="noStrike">
            <a:solidFill>
              <a:schemeClr val="tx1"/>
            </a:solidFill>
            <a:effectLst/>
            <a:latin typeface="+mn-lt"/>
            <a:ea typeface="+mn-ea"/>
            <a:cs typeface="+mn-cs"/>
          </a:endParaRPr>
        </a:p>
        <a:p>
          <a:r>
            <a:rPr lang="ru-RU" sz="1400" b="1" i="0" u="none" strike="noStrike">
              <a:solidFill>
                <a:schemeClr val="tx1"/>
              </a:solidFill>
              <a:effectLst/>
              <a:latin typeface="+mn-lt"/>
              <a:ea typeface="+mn-ea"/>
              <a:cs typeface="+mn-cs"/>
            </a:rPr>
            <a:t>Варианты</a:t>
          </a:r>
          <a:r>
            <a:rPr lang="ru-RU" sz="1400" b="1" i="0" u="none" strike="noStrike" baseline="0">
              <a:solidFill>
                <a:schemeClr val="tx1"/>
              </a:solidFill>
              <a:effectLst/>
              <a:latin typeface="+mn-lt"/>
              <a:ea typeface="+mn-ea"/>
              <a:cs typeface="+mn-cs"/>
            </a:rPr>
            <a:t> использования</a:t>
          </a:r>
          <a:r>
            <a:rPr lang="en-US" sz="1400" b="1" i="0" u="none" strike="noStrike">
              <a:solidFill>
                <a:schemeClr val="tx1"/>
              </a:solidFill>
              <a:effectLst/>
              <a:latin typeface="+mn-lt"/>
              <a:ea typeface="+mn-ea"/>
              <a:cs typeface="+mn-cs"/>
            </a:rPr>
            <a:t>:</a:t>
          </a:r>
        </a:p>
        <a:p>
          <a:endParaRPr lang="en-US" sz="1400" b="1" i="0" u="none" strike="noStrike">
            <a:solidFill>
              <a:schemeClr val="tx1"/>
            </a:solidFill>
            <a:effectLst/>
            <a:latin typeface="+mn-lt"/>
            <a:ea typeface="+mn-ea"/>
            <a:cs typeface="+mn-cs"/>
          </a:endParaRPr>
        </a:p>
        <a:p>
          <a:r>
            <a:rPr lang="ru-RU" sz="1400" b="1" i="0" u="none" strike="noStrike" baseline="0">
              <a:solidFill>
                <a:schemeClr val="tx1"/>
              </a:solidFill>
              <a:effectLst/>
              <a:latin typeface="+mn-lt"/>
              <a:ea typeface="+mn-ea"/>
              <a:cs typeface="+mn-cs"/>
            </a:rPr>
            <a:t>Исходные данные</a:t>
          </a:r>
          <a:endParaRPr lang="en-US" sz="1400" b="1" i="0" u="none" strike="noStrike">
            <a:solidFill>
              <a:schemeClr val="tx1"/>
            </a:solidFill>
            <a:effectLst/>
            <a:latin typeface="+mn-lt"/>
            <a:ea typeface="+mn-ea"/>
            <a:cs typeface="+mn-cs"/>
          </a:endParaRPr>
        </a:p>
        <a:p>
          <a:endParaRPr lang="en-US" sz="1400" b="1" i="0" u="none" strike="noStrik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i="0" u="none" strike="noStrike">
              <a:solidFill>
                <a:schemeClr val="tx1"/>
              </a:solidFill>
              <a:effectLst/>
              <a:latin typeface="+mn-lt"/>
              <a:ea typeface="+mn-ea"/>
              <a:cs typeface="+mn-cs"/>
            </a:rPr>
            <a:t>1. </a:t>
          </a:r>
          <a:r>
            <a:rPr kumimoji="0" lang="ru-RU" sz="1400" b="0" i="0" u="none" strike="noStrike" kern="0" cap="none" spc="0" normalizeH="0" baseline="0" noProof="0">
              <a:ln>
                <a:noFill/>
              </a:ln>
              <a:solidFill>
                <a:prstClr val="black"/>
              </a:solidFill>
              <a:effectLst/>
              <a:uLnTx/>
              <a:uFillTx/>
              <a:latin typeface="+mn-lt"/>
              <a:ea typeface="+mn-ea"/>
              <a:cs typeface="+mn-cs"/>
            </a:rPr>
            <a:t>Используйте вкладку Кормовой бюджет</a:t>
          </a:r>
          <a:r>
            <a:rPr kumimoji="0" lang="en-US" sz="1400" b="0" i="0" u="none" strike="noStrike" kern="0" cap="none" spc="0" normalizeH="0" baseline="0" noProof="0">
              <a:ln>
                <a:noFill/>
              </a:ln>
              <a:solidFill>
                <a:prstClr val="black"/>
              </a:solidFill>
              <a:effectLst/>
              <a:uLnTx/>
              <a:uFillTx/>
              <a:latin typeface="+mn-lt"/>
              <a:ea typeface="+mn-ea"/>
              <a:cs typeface="+mn-cs"/>
            </a:rPr>
            <a:t>. </a:t>
          </a:r>
        </a:p>
        <a:p>
          <a:endParaRPr lang="en-US" sz="1400" b="0" i="0" u="none" strike="noStrik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2. </a:t>
          </a:r>
          <a:r>
            <a:rPr kumimoji="0" lang="ru-RU" sz="1400" b="0" i="0" u="none" strike="noStrike" kern="0" cap="none" spc="0" normalizeH="0" baseline="0" noProof="0">
              <a:ln>
                <a:noFill/>
              </a:ln>
              <a:solidFill>
                <a:prstClr val="black"/>
              </a:solidFill>
              <a:effectLst/>
              <a:uLnTx/>
              <a:uFillTx/>
              <a:latin typeface="+mn-lt"/>
              <a:ea typeface="+mn-ea"/>
              <a:cs typeface="+mn-cs"/>
            </a:rPr>
            <a:t>Введите исходные данные в желтые ячейки</a:t>
          </a:r>
          <a:r>
            <a:rPr kumimoji="0" lang="en-US" sz="14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a:t>
          </a:r>
          <a:r>
            <a:rPr kumimoji="0" lang="ru-RU" sz="1400" b="0" i="0" u="none" strike="noStrike" kern="0" cap="none" spc="0" normalizeH="0" baseline="0" noProof="0">
              <a:ln>
                <a:noFill/>
              </a:ln>
              <a:solidFill>
                <a:prstClr val="black"/>
              </a:solidFill>
              <a:effectLst/>
              <a:uLnTx/>
              <a:uFillTx/>
              <a:latin typeface="+mn-lt"/>
              <a:ea typeface="+mn-ea"/>
              <a:cs typeface="+mn-cs"/>
            </a:rPr>
            <a:t>а</a:t>
          </a:r>
          <a:r>
            <a:rPr kumimoji="0" lang="en-US" sz="1400" b="0" i="0" u="none" strike="noStrike" kern="0" cap="none" spc="0" normalizeH="0" baseline="0" noProof="0">
              <a:ln>
                <a:noFill/>
              </a:ln>
              <a:solidFill>
                <a:prstClr val="black"/>
              </a:solidFill>
              <a:effectLst/>
              <a:uLnTx/>
              <a:uFillTx/>
              <a:latin typeface="+mn-lt"/>
              <a:ea typeface="+mn-ea"/>
              <a:cs typeface="+mn-cs"/>
            </a:rPr>
            <a:t>. </a:t>
          </a:r>
          <a:r>
            <a:rPr kumimoji="0" lang="ru-RU" sz="1400" b="0" i="0" u="none" strike="noStrike" kern="0" cap="none" spc="0" normalizeH="0" baseline="0" noProof="0">
              <a:ln>
                <a:noFill/>
              </a:ln>
              <a:solidFill>
                <a:prstClr val="black"/>
              </a:solidFill>
              <a:effectLst/>
              <a:uLnTx/>
              <a:uFillTx/>
              <a:latin typeface="+mn-lt"/>
              <a:ea typeface="+mn-ea"/>
              <a:cs typeface="+mn-cs"/>
            </a:rPr>
            <a:t>Введите начальный возраст свиней в начале первой оцениваемой фазы рациона</a:t>
          </a:r>
          <a:r>
            <a:rPr kumimoji="0" lang="en-US" sz="14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a:t>
          </a:r>
          <a:r>
            <a:rPr kumimoji="0" lang="ru-RU" sz="1400" b="0" i="0" u="none" strike="noStrike" kern="0" cap="none" spc="0" normalizeH="0" baseline="0" noProof="0">
              <a:ln>
                <a:noFill/>
              </a:ln>
              <a:solidFill>
                <a:prstClr val="black"/>
              </a:solidFill>
              <a:effectLst/>
              <a:uLnTx/>
              <a:uFillTx/>
              <a:latin typeface="+mn-lt"/>
              <a:ea typeface="+mn-ea"/>
              <a:cs typeface="+mn-cs"/>
            </a:rPr>
            <a:t>б</a:t>
          </a:r>
          <a:r>
            <a:rPr kumimoji="0" lang="en-US" sz="1400" b="0" i="0" u="none" strike="noStrike" kern="0" cap="none" spc="0" normalizeH="0" baseline="0" noProof="0">
              <a:ln>
                <a:noFill/>
              </a:ln>
              <a:solidFill>
                <a:prstClr val="black"/>
              </a:solidFill>
              <a:effectLst/>
              <a:uLnTx/>
              <a:uFillTx/>
              <a:latin typeface="+mn-lt"/>
              <a:ea typeface="+mn-ea"/>
              <a:cs typeface="+mn-cs"/>
            </a:rPr>
            <a:t>. </a:t>
          </a:r>
          <a:r>
            <a:rPr kumimoji="0" lang="ru-RU" sz="1400" b="0" i="0" u="none" strike="noStrike" kern="0" cap="none" spc="0" normalizeH="0" baseline="0" noProof="0">
              <a:ln>
                <a:noFill/>
              </a:ln>
              <a:solidFill>
                <a:prstClr val="black"/>
              </a:solidFill>
              <a:effectLst/>
              <a:uLnTx/>
              <a:uFillTx/>
              <a:latin typeface="+mn-lt"/>
              <a:ea typeface="+mn-ea"/>
              <a:cs typeface="+mn-cs"/>
            </a:rPr>
            <a:t>Введите данные по среднесуточному привесу</a:t>
          </a:r>
          <a:r>
            <a:rPr kumimoji="0" lang="en-US" sz="14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a:t>
          </a:r>
          <a:r>
            <a:rPr kumimoji="0" lang="ru-RU" sz="1400" b="0" i="0" u="none" strike="noStrike" kern="0" cap="none" spc="0" normalizeH="0" baseline="0" noProof="0">
              <a:ln>
                <a:noFill/>
              </a:ln>
              <a:solidFill>
                <a:prstClr val="black"/>
              </a:solidFill>
              <a:effectLst/>
              <a:uLnTx/>
              <a:uFillTx/>
              <a:latin typeface="+mn-lt"/>
              <a:ea typeface="+mn-ea"/>
              <a:cs typeface="+mn-cs"/>
            </a:rPr>
            <a:t>в</a:t>
          </a:r>
          <a:r>
            <a:rPr kumimoji="0" lang="en-US" sz="1400" b="0" i="0" u="none" strike="noStrike" kern="0" cap="none" spc="0" normalizeH="0" baseline="0" noProof="0">
              <a:ln>
                <a:noFill/>
              </a:ln>
              <a:solidFill>
                <a:prstClr val="black"/>
              </a:solidFill>
              <a:effectLst/>
              <a:uLnTx/>
              <a:uFillTx/>
              <a:latin typeface="+mn-lt"/>
              <a:ea typeface="+mn-ea"/>
              <a:cs typeface="+mn-cs"/>
            </a:rPr>
            <a:t>. </a:t>
          </a:r>
          <a:r>
            <a:rPr kumimoji="0" lang="ru-RU" sz="1400" b="0" i="0" u="none" strike="noStrike" kern="0" cap="none" spc="0" normalizeH="0" baseline="0" noProof="0">
              <a:ln>
                <a:noFill/>
              </a:ln>
              <a:solidFill>
                <a:prstClr val="black"/>
              </a:solidFill>
              <a:effectLst/>
              <a:uLnTx/>
              <a:uFillTx/>
              <a:latin typeface="+mn-lt"/>
              <a:ea typeface="+mn-ea"/>
              <a:cs typeface="+mn-cs"/>
            </a:rPr>
            <a:t>Введите  текущее значение по конверсии корма</a:t>
          </a:r>
          <a:r>
            <a:rPr kumimoji="0" lang="en-US" sz="14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a:t>
          </a:r>
          <a:r>
            <a:rPr kumimoji="0" lang="ru-RU" sz="1400" b="0" i="0" u="none" strike="noStrike" kern="0" cap="none" spc="0" normalizeH="0" baseline="0" noProof="0">
              <a:ln>
                <a:noFill/>
              </a:ln>
              <a:solidFill>
                <a:prstClr val="black"/>
              </a:solidFill>
              <a:effectLst/>
              <a:uLnTx/>
              <a:uFillTx/>
              <a:latin typeface="+mn-lt"/>
              <a:ea typeface="+mn-ea"/>
              <a:cs typeface="+mn-cs"/>
            </a:rPr>
            <a:t>г</a:t>
          </a:r>
          <a:r>
            <a:rPr kumimoji="0" lang="en-US" sz="1400" b="0" i="0" u="none" strike="noStrike" kern="0" cap="none" spc="0" normalizeH="0" baseline="0" noProof="0">
              <a:ln>
                <a:noFill/>
              </a:ln>
              <a:solidFill>
                <a:prstClr val="black"/>
              </a:solidFill>
              <a:effectLst/>
              <a:uLnTx/>
              <a:uFillTx/>
              <a:latin typeface="+mn-lt"/>
              <a:ea typeface="+mn-ea"/>
              <a:cs typeface="+mn-cs"/>
            </a:rPr>
            <a:t>. </a:t>
          </a:r>
          <a:r>
            <a:rPr kumimoji="0" lang="ru-RU" sz="1400" b="0" i="0" u="none" strike="noStrike" kern="0" cap="none" spc="0" normalizeH="0" baseline="0" noProof="0">
              <a:ln>
                <a:noFill/>
              </a:ln>
              <a:solidFill>
                <a:prstClr val="black"/>
              </a:solidFill>
              <a:effectLst/>
              <a:uLnTx/>
              <a:uFillTx/>
              <a:latin typeface="+mn-lt"/>
              <a:ea typeface="+mn-ea"/>
              <a:cs typeface="+mn-cs"/>
            </a:rPr>
            <a:t>Введите свой текущий уровень энергии в рационе для каждой фазы кормления</a:t>
          </a:r>
          <a:r>
            <a:rPr kumimoji="0" lang="en-US" sz="14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a:t>
          </a:r>
          <a:r>
            <a:rPr kumimoji="0" lang="ru-RU" sz="1400" b="0" i="0" u="none" strike="noStrike" kern="0" cap="none" spc="0" normalizeH="0" baseline="0" noProof="0">
              <a:ln>
                <a:noFill/>
              </a:ln>
              <a:solidFill>
                <a:prstClr val="black"/>
              </a:solidFill>
              <a:effectLst/>
              <a:uLnTx/>
              <a:uFillTx/>
              <a:latin typeface="+mn-lt"/>
              <a:ea typeface="+mn-ea"/>
              <a:cs typeface="+mn-cs"/>
            </a:rPr>
            <a:t>д</a:t>
          </a:r>
          <a:r>
            <a:rPr kumimoji="0" lang="en-US" sz="1400" b="0" i="0" u="none" strike="noStrike" kern="0" cap="none" spc="0" normalizeH="0" baseline="0" noProof="0">
              <a:ln>
                <a:noFill/>
              </a:ln>
              <a:solidFill>
                <a:prstClr val="black"/>
              </a:solidFill>
              <a:effectLst/>
              <a:uLnTx/>
              <a:uFillTx/>
              <a:latin typeface="+mn-lt"/>
              <a:ea typeface="+mn-ea"/>
              <a:cs typeface="+mn-cs"/>
            </a:rPr>
            <a:t>. </a:t>
          </a:r>
          <a:r>
            <a:rPr kumimoji="0" lang="ru-RU" sz="1400" b="0" i="0" u="none" strike="noStrike" kern="0" cap="none" spc="0" normalizeH="0" baseline="0" noProof="0">
              <a:ln>
                <a:noFill/>
              </a:ln>
              <a:solidFill>
                <a:prstClr val="black"/>
              </a:solidFill>
              <a:effectLst/>
              <a:uLnTx/>
              <a:uFillTx/>
              <a:latin typeface="+mn-lt"/>
              <a:ea typeface="+mn-ea"/>
              <a:cs typeface="+mn-cs"/>
            </a:rPr>
            <a:t>Введите начальный и конечный диапазон веса животных для  каждой фазы</a:t>
          </a:r>
          <a:r>
            <a:rPr kumimoji="0" lang="en-US" sz="14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a:t>
          </a: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1" i="0" u="none" strike="noStrike" kern="0" cap="none" spc="0" normalizeH="0" baseline="0" noProof="0">
              <a:ln>
                <a:noFill/>
              </a:ln>
              <a:solidFill>
                <a:prstClr val="black"/>
              </a:solidFill>
              <a:effectLst/>
              <a:uLnTx/>
              <a:uFillTx/>
              <a:latin typeface="+mn-lt"/>
              <a:ea typeface="+mn-ea"/>
              <a:cs typeface="+mn-cs"/>
            </a:rPr>
            <a:t>Выводы</a:t>
          </a: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3</a:t>
          </a:r>
          <a:r>
            <a:rPr kumimoji="0" lang="ru-RU" sz="1400" b="0" i="0" u="none" strike="noStrike" kern="0" cap="none" spc="0" normalizeH="0" baseline="0" noProof="0">
              <a:ln>
                <a:noFill/>
              </a:ln>
              <a:solidFill>
                <a:prstClr val="black"/>
              </a:solidFill>
              <a:effectLst/>
              <a:uLnTx/>
              <a:uFillTx/>
              <a:latin typeface="+mn-lt"/>
              <a:ea typeface="+mn-ea"/>
              <a:cs typeface="+mn-cs"/>
            </a:rPr>
            <a:t>. Инструмент выводит расчетную стандартизированную биологическую потребность в перевариваемом лизине в соотношении  к биологической потребности в энергии для каждого диапазона веса животных.</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4.</a:t>
          </a:r>
          <a:r>
            <a:rPr kumimoji="0" lang="ru-RU" sz="1400" b="0" i="0" u="none" strike="noStrike" kern="0" cap="none" spc="0" normalizeH="0" baseline="0" noProof="0">
              <a:ln>
                <a:noFill/>
              </a:ln>
              <a:solidFill>
                <a:prstClr val="black"/>
              </a:solidFill>
              <a:effectLst/>
              <a:uLnTx/>
              <a:uFillTx/>
              <a:latin typeface="+mn-lt"/>
              <a:ea typeface="+mn-ea"/>
              <a:cs typeface="+mn-cs"/>
            </a:rPr>
            <a:t> Инструмент показывает расчетный бюджет корма  в килограммах на голову и количество дней на корме для каждой фазы рациона.</a:t>
          </a:r>
          <a:endParaRPr lang="en-US" sz="1400" b="0" i="0" u="none" strike="noStrike" baseline="0">
            <a:solidFill>
              <a:schemeClr val="tx1"/>
            </a:solidFill>
            <a:effectLst/>
            <a:latin typeface="+mn-lt"/>
            <a:ea typeface="+mn-ea"/>
            <a:cs typeface="+mn-cs"/>
          </a:endParaRPr>
        </a:p>
        <a:p>
          <a:r>
            <a:rPr lang="ru-RU" sz="1400" b="1" i="0" u="none" strike="noStrike" baseline="0">
              <a:solidFill>
                <a:schemeClr val="tx1"/>
              </a:solidFill>
              <a:effectLst/>
              <a:latin typeface="+mn-lt"/>
              <a:ea typeface="+mn-ea"/>
              <a:cs typeface="+mn-cs"/>
            </a:rPr>
            <a:t>Дополнительная информация</a:t>
          </a:r>
          <a:endParaRPr lang="en-US" sz="1400" b="1" i="0" u="none" strike="noStrike" baseline="0">
            <a:solidFill>
              <a:schemeClr val="tx1"/>
            </a:solidFill>
            <a:effectLst/>
            <a:latin typeface="+mn-lt"/>
            <a:ea typeface="+mn-ea"/>
            <a:cs typeface="+mn-cs"/>
          </a:endParaRPr>
        </a:p>
        <a:p>
          <a:endParaRPr lang="en-US" sz="1400" b="1" i="0" u="none" strike="noStrike" baseline="0">
            <a:solidFill>
              <a:schemeClr val="tx1"/>
            </a:solidFill>
            <a:effectLst/>
            <a:latin typeface="+mn-lt"/>
            <a:ea typeface="+mn-ea"/>
            <a:cs typeface="+mn-cs"/>
          </a:endParaRPr>
        </a:p>
        <a:p>
          <a:r>
            <a:rPr lang="en-US" sz="1400" b="0" i="0" u="none" strike="noStrike" baseline="0">
              <a:solidFill>
                <a:schemeClr val="tx1"/>
              </a:solidFill>
              <a:effectLst/>
              <a:latin typeface="+mn-lt"/>
              <a:ea typeface="+mn-ea"/>
              <a:cs typeface="+mn-cs"/>
            </a:rPr>
            <a:t>5. </a:t>
          </a:r>
          <a:r>
            <a:rPr lang="ru-RU" sz="1400" b="0" i="0" u="none" strike="noStrike" baseline="0">
              <a:solidFill>
                <a:schemeClr val="tx1"/>
              </a:solidFill>
              <a:effectLst/>
              <a:latin typeface="+mn-lt"/>
              <a:ea typeface="+mn-ea"/>
              <a:cs typeface="+mn-cs"/>
            </a:rPr>
            <a:t>Кривые роста для потомства </a:t>
          </a:r>
          <a:r>
            <a:rPr lang="en-US" sz="1400" b="0" i="0" u="none" strike="noStrike" baseline="0">
              <a:solidFill>
                <a:schemeClr val="tx1"/>
              </a:solidFill>
              <a:effectLst/>
              <a:latin typeface="+mn-lt"/>
              <a:ea typeface="+mn-ea"/>
              <a:cs typeface="+mn-cs"/>
            </a:rPr>
            <a:t>PIC 337 </a:t>
          </a:r>
          <a:r>
            <a:rPr lang="ru-RU" sz="1400" b="0" i="0" u="none" strike="noStrike" baseline="0">
              <a:solidFill>
                <a:schemeClr val="tx1"/>
              </a:solidFill>
              <a:effectLst/>
              <a:latin typeface="+mn-lt"/>
              <a:ea typeface="+mn-ea"/>
              <a:cs typeface="+mn-cs"/>
            </a:rPr>
            <a:t>были использованы для создания базовой формы в соответствии с уровнем энергии в рационе (</a:t>
          </a:r>
          <a:r>
            <a:rPr lang="en-US" sz="1400" b="0" i="0" u="none" strike="noStrike" baseline="0">
              <a:solidFill>
                <a:schemeClr val="tx1"/>
              </a:solidFill>
              <a:effectLst/>
              <a:latin typeface="+mn-lt"/>
              <a:ea typeface="+mn-ea"/>
              <a:cs typeface="+mn-cs"/>
            </a:rPr>
            <a:t>Schinkel et al., 2012). </a:t>
          </a:r>
          <a:r>
            <a:rPr lang="ru-RU" sz="1400" b="0" i="0" u="none" strike="noStrike" baseline="0">
              <a:solidFill>
                <a:schemeClr val="tx1"/>
              </a:solidFill>
              <a:effectLst/>
              <a:latin typeface="+mn-lt"/>
              <a:ea typeface="+mn-ea"/>
              <a:cs typeface="+mn-cs"/>
            </a:rPr>
            <a:t>Расчётные уровни энергии распределяются следующим образом</a:t>
          </a:r>
          <a:r>
            <a:rPr lang="en-US" sz="1400" b="0" i="0" u="none" strike="noStrike" baseline="0">
              <a:solidFill>
                <a:schemeClr val="tx1"/>
              </a:solidFill>
              <a:effectLst/>
              <a:latin typeface="+mn-lt"/>
              <a:ea typeface="+mn-ea"/>
              <a:cs typeface="+mn-cs"/>
            </a:rPr>
            <a:t>:</a:t>
          </a:r>
        </a:p>
        <a:p>
          <a:r>
            <a:rPr lang="en-US" sz="1400" b="0" i="0" u="none" strike="noStrike" baseline="0">
              <a:solidFill>
                <a:schemeClr val="tx1"/>
              </a:solidFill>
              <a:effectLst/>
              <a:latin typeface="+mn-lt"/>
              <a:ea typeface="+mn-ea"/>
              <a:cs typeface="+mn-cs"/>
            </a:rPr>
            <a:t>	- </a:t>
          </a:r>
          <a:r>
            <a:rPr lang="ru-RU" sz="1400" b="0" i="0" u="none" strike="noStrike" baseline="0">
              <a:solidFill>
                <a:schemeClr val="tx1"/>
              </a:solidFill>
              <a:effectLst/>
              <a:latin typeface="+mn-lt"/>
              <a:ea typeface="+mn-ea"/>
              <a:cs typeface="+mn-cs"/>
            </a:rPr>
            <a:t>Низкий</a:t>
          </a:r>
          <a:r>
            <a:rPr lang="en-US" sz="1400" b="0" i="0" u="none" strike="noStrike" baseline="0">
              <a:solidFill>
                <a:schemeClr val="tx1"/>
              </a:solidFill>
              <a:effectLst/>
              <a:latin typeface="+mn-lt"/>
              <a:ea typeface="+mn-ea"/>
              <a:cs typeface="+mn-cs"/>
            </a:rPr>
            <a:t>: </a:t>
          </a:r>
          <a:r>
            <a:rPr lang="ru-RU" sz="1400" b="0" i="0" u="none" strike="noStrike" baseline="0">
              <a:solidFill>
                <a:schemeClr val="tx1"/>
              </a:solidFill>
              <a:effectLst/>
              <a:latin typeface="+mn-lt"/>
              <a:ea typeface="+mn-ea"/>
              <a:cs typeface="+mn-cs"/>
            </a:rPr>
            <a:t> ниже </a:t>
          </a:r>
          <a:r>
            <a:rPr lang="en-US" sz="1400" b="0" i="0" u="none" strike="noStrike" baseline="0">
              <a:solidFill>
                <a:schemeClr val="tx1"/>
              </a:solidFill>
              <a:effectLst/>
              <a:latin typeface="+mn-lt"/>
              <a:ea typeface="+mn-ea"/>
              <a:cs typeface="+mn-cs"/>
            </a:rPr>
            <a:t>3220 </a:t>
          </a:r>
          <a:r>
            <a:rPr lang="ru-RU" sz="1400" b="0" i="0" u="none" strike="noStrike" baseline="0">
              <a:solidFill>
                <a:schemeClr val="tx1"/>
              </a:solidFill>
              <a:effectLst/>
              <a:latin typeface="+mn-lt"/>
              <a:ea typeface="+mn-ea"/>
              <a:cs typeface="+mn-cs"/>
            </a:rPr>
            <a:t>ккал</a:t>
          </a:r>
          <a:r>
            <a:rPr lang="en-US" sz="1400" b="0" i="0" u="none" strike="noStrike" baseline="0">
              <a:solidFill>
                <a:schemeClr val="tx1"/>
              </a:solidFill>
              <a:effectLst/>
              <a:latin typeface="+mn-lt"/>
              <a:ea typeface="+mn-ea"/>
              <a:cs typeface="+mn-cs"/>
            </a:rPr>
            <a:t> </a:t>
          </a:r>
          <a:r>
            <a:rPr lang="ru-RU" sz="1400" b="0" i="0" u="none" strike="noStrike" baseline="0">
              <a:solidFill>
                <a:schemeClr val="tx1"/>
              </a:solidFill>
              <a:effectLst/>
              <a:latin typeface="+mn-lt"/>
              <a:ea typeface="+mn-ea"/>
              <a:cs typeface="+mn-cs"/>
            </a:rPr>
            <a:t>ОЭ</a:t>
          </a:r>
          <a:r>
            <a:rPr lang="en-US" sz="1400" b="0" i="0" u="none" strike="noStrike" baseline="0">
              <a:solidFill>
                <a:schemeClr val="tx1"/>
              </a:solidFill>
              <a:effectLst/>
              <a:latin typeface="+mn-lt"/>
              <a:ea typeface="+mn-ea"/>
              <a:cs typeface="+mn-cs"/>
            </a:rPr>
            <a:t>/</a:t>
          </a:r>
          <a:r>
            <a:rPr lang="ru-RU" sz="1400" b="0" i="0" u="none" strike="noStrike" baseline="0">
              <a:solidFill>
                <a:schemeClr val="tx1"/>
              </a:solidFill>
              <a:effectLst/>
              <a:latin typeface="+mn-lt"/>
              <a:ea typeface="+mn-ea"/>
              <a:cs typeface="+mn-cs"/>
            </a:rPr>
            <a:t>кг</a:t>
          </a:r>
          <a:r>
            <a:rPr lang="en-US" sz="1400" b="0" i="0" u="none" strike="noStrike" baseline="0">
              <a:solidFill>
                <a:schemeClr val="tx1"/>
              </a:solidFill>
              <a:effectLst/>
              <a:latin typeface="+mn-lt"/>
              <a:ea typeface="+mn-ea"/>
              <a:cs typeface="+mn-cs"/>
            </a:rPr>
            <a:t>.</a:t>
          </a:r>
        </a:p>
        <a:p>
          <a:r>
            <a:rPr lang="en-US" sz="1400" b="0" i="0" u="none" strike="noStrike" baseline="0">
              <a:solidFill>
                <a:schemeClr val="tx1"/>
              </a:solidFill>
              <a:effectLst/>
              <a:latin typeface="+mn-lt"/>
              <a:ea typeface="+mn-ea"/>
              <a:cs typeface="+mn-cs"/>
            </a:rPr>
            <a:t>	- </a:t>
          </a:r>
          <a:r>
            <a:rPr lang="ru-RU" sz="1400" b="0" i="0" u="none" strike="noStrike" baseline="0">
              <a:solidFill>
                <a:schemeClr val="tx1"/>
              </a:solidFill>
              <a:effectLst/>
              <a:latin typeface="+mn-lt"/>
              <a:ea typeface="+mn-ea"/>
              <a:cs typeface="+mn-cs"/>
            </a:rPr>
            <a:t>Средний</a:t>
          </a:r>
          <a:r>
            <a:rPr lang="en-US" sz="1400" b="0" i="0" u="none" strike="noStrike" baseline="0">
              <a:solidFill>
                <a:schemeClr val="tx1"/>
              </a:solidFill>
              <a:effectLst/>
              <a:latin typeface="+mn-lt"/>
              <a:ea typeface="+mn-ea"/>
              <a:cs typeface="+mn-cs"/>
            </a:rPr>
            <a:t>: </a:t>
          </a:r>
          <a:r>
            <a:rPr lang="ru-RU" sz="1400" b="0" i="0" u="none" strike="noStrike" baseline="0">
              <a:solidFill>
                <a:schemeClr val="tx1"/>
              </a:solidFill>
              <a:effectLst/>
              <a:latin typeface="+mn-lt"/>
              <a:ea typeface="+mn-ea"/>
              <a:cs typeface="+mn-cs"/>
            </a:rPr>
            <a:t>между</a:t>
          </a:r>
          <a:r>
            <a:rPr lang="en-US" sz="1400" b="0" i="0" u="none" strike="noStrike" baseline="0">
              <a:solidFill>
                <a:schemeClr val="tx1"/>
              </a:solidFill>
              <a:effectLst/>
              <a:latin typeface="+mn-lt"/>
              <a:ea typeface="+mn-ea"/>
              <a:cs typeface="+mn-cs"/>
            </a:rPr>
            <a:t> 3220 </a:t>
          </a:r>
          <a:r>
            <a:rPr lang="ru-RU" sz="1400" b="0" i="0" u="none" strike="noStrike" baseline="0">
              <a:solidFill>
                <a:schemeClr val="tx1"/>
              </a:solidFill>
              <a:effectLst/>
              <a:latin typeface="+mn-lt"/>
              <a:ea typeface="+mn-ea"/>
              <a:cs typeface="+mn-cs"/>
            </a:rPr>
            <a:t>и</a:t>
          </a:r>
          <a:r>
            <a:rPr lang="en-US" sz="1400" b="0" i="0" u="none" strike="noStrike" baseline="0">
              <a:solidFill>
                <a:schemeClr val="tx1"/>
              </a:solidFill>
              <a:effectLst/>
              <a:latin typeface="+mn-lt"/>
              <a:ea typeface="+mn-ea"/>
              <a:cs typeface="+mn-cs"/>
            </a:rPr>
            <a:t> 3350 </a:t>
          </a:r>
          <a:r>
            <a:rPr lang="ru-RU" sz="1400" b="0" i="0" u="none" strike="noStrike" baseline="0">
              <a:solidFill>
                <a:schemeClr val="tx1"/>
              </a:solidFill>
              <a:effectLst/>
              <a:latin typeface="+mn-lt"/>
              <a:ea typeface="+mn-ea"/>
              <a:cs typeface="+mn-cs"/>
            </a:rPr>
            <a:t>ккал</a:t>
          </a:r>
          <a:r>
            <a:rPr lang="en-US" sz="1400" b="0" i="0" u="none" strike="noStrike" baseline="0">
              <a:solidFill>
                <a:schemeClr val="tx1"/>
              </a:solidFill>
              <a:effectLst/>
              <a:latin typeface="+mn-lt"/>
              <a:ea typeface="+mn-ea"/>
              <a:cs typeface="+mn-cs"/>
            </a:rPr>
            <a:t> </a:t>
          </a:r>
          <a:r>
            <a:rPr lang="ru-RU" sz="1400" b="0" i="0" u="none" strike="noStrike" baseline="0">
              <a:solidFill>
                <a:schemeClr val="tx1"/>
              </a:solidFill>
              <a:effectLst/>
              <a:latin typeface="+mn-lt"/>
              <a:ea typeface="+mn-ea"/>
              <a:cs typeface="+mn-cs"/>
            </a:rPr>
            <a:t>ОЭ</a:t>
          </a:r>
          <a:r>
            <a:rPr lang="en-US" sz="1400" b="0" i="0" u="none" strike="noStrike" baseline="0">
              <a:solidFill>
                <a:schemeClr val="tx1"/>
              </a:solidFill>
              <a:effectLst/>
              <a:latin typeface="+mn-lt"/>
              <a:ea typeface="+mn-ea"/>
              <a:cs typeface="+mn-cs"/>
            </a:rPr>
            <a:t>/</a:t>
          </a:r>
          <a:r>
            <a:rPr lang="ru-RU" sz="1400" b="0" i="0" u="none" strike="noStrike" baseline="0">
              <a:solidFill>
                <a:schemeClr val="tx1"/>
              </a:solidFill>
              <a:effectLst/>
              <a:latin typeface="+mn-lt"/>
              <a:ea typeface="+mn-ea"/>
              <a:cs typeface="+mn-cs"/>
            </a:rPr>
            <a:t>кг.</a:t>
          </a:r>
          <a:endParaRPr lang="en-US" sz="1400" b="0" i="0" u="none" strike="noStrike" baseline="0">
            <a:solidFill>
              <a:schemeClr val="tx1"/>
            </a:solidFill>
            <a:effectLst/>
            <a:latin typeface="+mn-lt"/>
            <a:ea typeface="+mn-ea"/>
            <a:cs typeface="+mn-cs"/>
          </a:endParaRPr>
        </a:p>
        <a:p>
          <a:r>
            <a:rPr lang="en-US" sz="1400" b="0" i="0" u="none" strike="noStrike" baseline="0">
              <a:solidFill>
                <a:schemeClr val="tx1"/>
              </a:solidFill>
              <a:effectLst/>
              <a:latin typeface="+mn-lt"/>
              <a:ea typeface="+mn-ea"/>
              <a:cs typeface="+mn-cs"/>
            </a:rPr>
            <a:t>	- </a:t>
          </a:r>
          <a:r>
            <a:rPr lang="ru-RU" sz="1400" b="0" i="0" u="none" strike="noStrike" baseline="0">
              <a:solidFill>
                <a:schemeClr val="tx1"/>
              </a:solidFill>
              <a:effectLst/>
              <a:latin typeface="+mn-lt"/>
              <a:ea typeface="+mn-ea"/>
              <a:cs typeface="+mn-cs"/>
            </a:rPr>
            <a:t>Высокий</a:t>
          </a:r>
          <a:r>
            <a:rPr lang="en-US" sz="1400" b="0" i="0" u="none" strike="noStrike" baseline="0">
              <a:solidFill>
                <a:schemeClr val="tx1"/>
              </a:solidFill>
              <a:effectLst/>
              <a:latin typeface="+mn-lt"/>
              <a:ea typeface="+mn-ea"/>
              <a:cs typeface="+mn-cs"/>
            </a:rPr>
            <a:t>: </a:t>
          </a:r>
          <a:r>
            <a:rPr lang="ru-RU" sz="1400" b="0" i="0" u="none" strike="noStrike" baseline="0">
              <a:solidFill>
                <a:schemeClr val="tx1"/>
              </a:solidFill>
              <a:effectLst/>
              <a:latin typeface="+mn-lt"/>
              <a:ea typeface="+mn-ea"/>
              <a:cs typeface="+mn-cs"/>
            </a:rPr>
            <a:t>свыше</a:t>
          </a:r>
          <a:r>
            <a:rPr lang="en-US" sz="1400" b="0" i="0" u="none" strike="noStrike" baseline="0">
              <a:solidFill>
                <a:schemeClr val="tx1"/>
              </a:solidFill>
              <a:effectLst/>
              <a:latin typeface="+mn-lt"/>
              <a:ea typeface="+mn-ea"/>
              <a:cs typeface="+mn-cs"/>
            </a:rPr>
            <a:t> 3350 </a:t>
          </a:r>
          <a:r>
            <a:rPr lang="ru-RU" sz="1400" b="0" i="0" u="none" strike="noStrike" baseline="0">
              <a:solidFill>
                <a:schemeClr val="tx1"/>
              </a:solidFill>
              <a:effectLst/>
              <a:latin typeface="+mn-lt"/>
              <a:ea typeface="+mn-ea"/>
              <a:cs typeface="+mn-cs"/>
            </a:rPr>
            <a:t>ккал</a:t>
          </a:r>
          <a:r>
            <a:rPr lang="en-US" sz="1400" b="0" i="0" u="none" strike="noStrike" baseline="0">
              <a:solidFill>
                <a:schemeClr val="tx1"/>
              </a:solidFill>
              <a:effectLst/>
              <a:latin typeface="+mn-lt"/>
              <a:ea typeface="+mn-ea"/>
              <a:cs typeface="+mn-cs"/>
            </a:rPr>
            <a:t> </a:t>
          </a:r>
          <a:r>
            <a:rPr lang="ru-RU" sz="1400" b="0" i="0" u="none" strike="noStrike" baseline="0">
              <a:solidFill>
                <a:schemeClr val="tx1"/>
              </a:solidFill>
              <a:effectLst/>
              <a:latin typeface="+mn-lt"/>
              <a:ea typeface="+mn-ea"/>
              <a:cs typeface="+mn-cs"/>
            </a:rPr>
            <a:t>ОЭ</a:t>
          </a:r>
          <a:r>
            <a:rPr lang="en-US" sz="1400" b="0" i="0" u="none" strike="noStrike" baseline="0">
              <a:solidFill>
                <a:schemeClr val="tx1"/>
              </a:solidFill>
              <a:effectLst/>
              <a:latin typeface="+mn-lt"/>
              <a:ea typeface="+mn-ea"/>
              <a:cs typeface="+mn-cs"/>
            </a:rPr>
            <a:t>/</a:t>
          </a:r>
          <a:r>
            <a:rPr lang="ru-RU" sz="1400" b="0" i="0" u="none" strike="noStrike" baseline="0">
              <a:solidFill>
                <a:schemeClr val="tx1"/>
              </a:solidFill>
              <a:effectLst/>
              <a:latin typeface="+mn-lt"/>
              <a:ea typeface="+mn-ea"/>
              <a:cs typeface="+mn-cs"/>
            </a:rPr>
            <a:t>кг</a:t>
          </a:r>
          <a:r>
            <a:rPr lang="en-US" sz="1400" b="0" i="0" u="none" strike="noStrike" baseline="0">
              <a:solidFill>
                <a:schemeClr val="tx1"/>
              </a:solidFill>
              <a:effectLst/>
              <a:latin typeface="+mn-lt"/>
              <a:ea typeface="+mn-ea"/>
              <a:cs typeface="+mn-cs"/>
            </a:rPr>
            <a:t>.</a:t>
          </a:r>
        </a:p>
        <a:p>
          <a:r>
            <a:rPr lang="en-US" sz="1400" b="0" i="0" u="none" strike="noStrike" baseline="0">
              <a:solidFill>
                <a:schemeClr val="tx1"/>
              </a:solidFill>
              <a:effectLst/>
              <a:latin typeface="+mn-lt"/>
              <a:ea typeface="+mn-ea"/>
              <a:cs typeface="+mn-cs"/>
            </a:rPr>
            <a:t>6. </a:t>
          </a:r>
          <a:r>
            <a:rPr lang="ru-RU" sz="1400" b="0" i="0" u="none" strike="noStrike" baseline="0">
              <a:solidFill>
                <a:schemeClr val="tx1"/>
              </a:solidFill>
              <a:effectLst/>
              <a:latin typeface="+mn-lt"/>
              <a:ea typeface="+mn-ea"/>
              <a:cs typeface="+mn-cs"/>
            </a:rPr>
            <a:t>Вычисляется средневзвешенное значение уровней энергии  в каждой фазе, чтобы определить, какая форма базовой линии используется для расчетов. Выбранные базовые формы затем корректируются в соответствии с текущими показателями роста  для определения предполагаемых бюджетов корма и количества дней на фазе кормления.</a:t>
          </a:r>
        </a:p>
        <a:p>
          <a:r>
            <a:rPr lang="en-US" sz="1400" b="0" i="0" u="none" strike="noStrike" baseline="0">
              <a:solidFill>
                <a:schemeClr val="tx1"/>
              </a:solidFill>
              <a:effectLst/>
              <a:latin typeface="+mn-lt"/>
              <a:ea typeface="+mn-ea"/>
              <a:cs typeface="+mn-cs"/>
            </a:rPr>
            <a:t>7. </a:t>
          </a:r>
          <a:r>
            <a:rPr lang="ru-RU" sz="1400" b="0" i="0" u="none" strike="noStrike" baseline="0">
              <a:solidFill>
                <a:schemeClr val="tx1"/>
              </a:solidFill>
              <a:effectLst/>
              <a:latin typeface="+mn-lt"/>
              <a:ea typeface="+mn-ea"/>
              <a:cs typeface="+mn-cs"/>
            </a:rPr>
            <a:t>Инструмент подходит для моделирования бюджета для стадий доращивания и откорма</a:t>
          </a:r>
          <a:r>
            <a:rPr lang="en-US" sz="1400" b="0" i="0" u="none" strike="noStrike" baseline="0">
              <a:solidFill>
                <a:schemeClr val="tx1"/>
              </a:solidFill>
              <a:effectLst/>
              <a:latin typeface="+mn-lt"/>
              <a:ea typeface="+mn-ea"/>
              <a:cs typeface="+mn-cs"/>
            </a:rPr>
            <a:t>.</a:t>
          </a:r>
        </a:p>
        <a:p>
          <a:r>
            <a:rPr lang="en-US" sz="1400" b="0" i="0" u="none" strike="noStrike" baseline="0">
              <a:solidFill>
                <a:schemeClr val="tx1"/>
              </a:solidFill>
              <a:effectLst/>
              <a:latin typeface="+mn-lt"/>
              <a:ea typeface="+mn-ea"/>
              <a:cs typeface="+mn-cs"/>
            </a:rPr>
            <a:t> </a:t>
          </a:r>
        </a:p>
        <a:p>
          <a:r>
            <a:rPr lang="ru-RU" sz="1400" b="1" i="0" u="none" strike="noStrike" baseline="0">
              <a:solidFill>
                <a:schemeClr val="tx1"/>
              </a:solidFill>
              <a:effectLst/>
              <a:latin typeface="+mn-lt"/>
              <a:ea typeface="+mn-ea"/>
              <a:cs typeface="+mn-cs"/>
            </a:rPr>
            <a:t>По вопросам, связанным с этим инструментом, пожалуйста, свяжитесь с технической командой </a:t>
          </a:r>
          <a:r>
            <a:rPr lang="en-US" sz="1400" b="1" i="0" u="none" strike="noStrike" baseline="0">
              <a:solidFill>
                <a:schemeClr val="tx1"/>
              </a:solidFill>
              <a:effectLst/>
              <a:latin typeface="+mn-lt"/>
              <a:ea typeface="+mn-ea"/>
              <a:cs typeface="+mn-cs"/>
            </a:rPr>
            <a:t>PIC.</a:t>
          </a:r>
          <a:endParaRPr lang="en-US" sz="1400" b="1" i="0" u="none" strike="noStrike">
            <a:solidFill>
              <a:schemeClr val="tx1"/>
            </a:solidFill>
            <a:effectLst/>
            <a:latin typeface="+mn-lt"/>
            <a:ea typeface="+mn-ea"/>
            <a:cs typeface="+mn-cs"/>
          </a:endParaRPr>
        </a:p>
      </xdr:txBody>
    </xdr:sp>
    <xdr:clientData/>
  </xdr:oneCellAnchor>
  <xdr:twoCellAnchor editAs="oneCell">
    <xdr:from>
      <xdr:col>0</xdr:col>
      <xdr:colOff>0</xdr:colOff>
      <xdr:row>0</xdr:row>
      <xdr:rowOff>0</xdr:rowOff>
    </xdr:from>
    <xdr:to>
      <xdr:col>12</xdr:col>
      <xdr:colOff>330968</xdr:colOff>
      <xdr:row>2</xdr:row>
      <xdr:rowOff>101669</xdr:rowOff>
    </xdr:to>
    <xdr:pic>
      <xdr:nvPicPr>
        <xdr:cNvPr id="8" name="Picture 7">
          <a:extLst>
            <a:ext uri="{FF2B5EF4-FFF2-40B4-BE49-F238E27FC236}">
              <a16:creationId xmlns:a16="http://schemas.microsoft.com/office/drawing/2014/main" id="{09D03B89-1FD0-475B-855C-E42333F4AA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51332" cy="1387063"/>
        </a:xfrm>
        <a:prstGeom prst="rect">
          <a:avLst/>
        </a:prstGeom>
      </xdr:spPr>
    </xdr:pic>
    <xdr:clientData/>
  </xdr:twoCellAnchor>
  <xdr:twoCellAnchor>
    <xdr:from>
      <xdr:col>0</xdr:col>
      <xdr:colOff>1208423</xdr:colOff>
      <xdr:row>0</xdr:row>
      <xdr:rowOff>392546</xdr:rowOff>
    </xdr:from>
    <xdr:to>
      <xdr:col>9</xdr:col>
      <xdr:colOff>515697</xdr:colOff>
      <xdr:row>0</xdr:row>
      <xdr:rowOff>882458</xdr:rowOff>
    </xdr:to>
    <xdr:sp macro="" textlink="">
      <xdr:nvSpPr>
        <xdr:cNvPr id="9" name="TextBox 8">
          <a:extLst>
            <a:ext uri="{FF2B5EF4-FFF2-40B4-BE49-F238E27FC236}">
              <a16:creationId xmlns:a16="http://schemas.microsoft.com/office/drawing/2014/main" id="{6539C605-04FC-4084-9146-C0694391D680}"/>
            </a:ext>
          </a:extLst>
        </xdr:cNvPr>
        <xdr:cNvSpPr txBox="1"/>
      </xdr:nvSpPr>
      <xdr:spPr>
        <a:xfrm>
          <a:off x="1208423" y="392546"/>
          <a:ext cx="5703456" cy="489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ru-RU" sz="2000" b="1">
              <a:solidFill>
                <a:srgbClr val="225480"/>
              </a:solidFill>
            </a:rPr>
            <a:t>Калькулятор</a:t>
          </a:r>
          <a:r>
            <a:rPr lang="ru-RU" sz="2000" b="1" baseline="0">
              <a:solidFill>
                <a:srgbClr val="225480"/>
              </a:solidFill>
            </a:rPr>
            <a:t> кормового бюджета </a:t>
          </a:r>
          <a:r>
            <a:rPr lang="en-US" sz="2000" b="1" baseline="0">
              <a:solidFill>
                <a:srgbClr val="225480"/>
              </a:solidFill>
            </a:rPr>
            <a:t>PIC 337</a:t>
          </a:r>
          <a:endParaRPr lang="en-US" sz="2000" b="1">
            <a:solidFill>
              <a:srgbClr val="22548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182217</xdr:colOff>
      <xdr:row>0</xdr:row>
      <xdr:rowOff>0</xdr:rowOff>
    </xdr:from>
    <xdr:to>
      <xdr:col>10</xdr:col>
      <xdr:colOff>19050</xdr:colOff>
      <xdr:row>0</xdr:row>
      <xdr:rowOff>1393031</xdr:rowOff>
    </xdr:to>
    <xdr:pic>
      <xdr:nvPicPr>
        <xdr:cNvPr id="2" name="Picture 1">
          <a:extLst>
            <a:ext uri="{FF2B5EF4-FFF2-40B4-BE49-F238E27FC236}">
              <a16:creationId xmlns:a16="http://schemas.microsoft.com/office/drawing/2014/main" id="{5E4403A6-3732-41D2-A282-4865DEA0D4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2217" y="0"/>
          <a:ext cx="9611864" cy="1393031"/>
        </a:xfrm>
        <a:prstGeom prst="rect">
          <a:avLst/>
        </a:prstGeom>
      </xdr:spPr>
    </xdr:pic>
    <xdr:clientData/>
  </xdr:twoCellAnchor>
  <xdr:twoCellAnchor>
    <xdr:from>
      <xdr:col>1</xdr:col>
      <xdr:colOff>1018761</xdr:colOff>
      <xdr:row>0</xdr:row>
      <xdr:rowOff>446314</xdr:rowOff>
    </xdr:from>
    <xdr:to>
      <xdr:col>6</xdr:col>
      <xdr:colOff>811696</xdr:colOff>
      <xdr:row>0</xdr:row>
      <xdr:rowOff>1187533</xdr:rowOff>
    </xdr:to>
    <xdr:sp macro="" textlink="">
      <xdr:nvSpPr>
        <xdr:cNvPr id="3" name="TextBox 2">
          <a:extLst>
            <a:ext uri="{FF2B5EF4-FFF2-40B4-BE49-F238E27FC236}">
              <a16:creationId xmlns:a16="http://schemas.microsoft.com/office/drawing/2014/main" id="{0D656716-17B7-47B6-BE72-D9A722EAD9EF}"/>
            </a:ext>
          </a:extLst>
        </xdr:cNvPr>
        <xdr:cNvSpPr txBox="1"/>
      </xdr:nvSpPr>
      <xdr:spPr>
        <a:xfrm>
          <a:off x="1644690" y="446314"/>
          <a:ext cx="5660335" cy="7412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ru-RU" sz="2000" b="1">
              <a:solidFill>
                <a:srgbClr val="225480"/>
              </a:solidFill>
            </a:rPr>
            <a:t>Калькулятор</a:t>
          </a:r>
          <a:r>
            <a:rPr lang="ru-RU" sz="2000" b="1" baseline="0">
              <a:solidFill>
                <a:srgbClr val="225480"/>
              </a:solidFill>
            </a:rPr>
            <a:t> кормового бюджета </a:t>
          </a:r>
          <a:r>
            <a:rPr lang="en-US" sz="2000" b="1" baseline="0">
              <a:solidFill>
                <a:srgbClr val="225480"/>
              </a:solidFill>
            </a:rPr>
            <a:t>PIC 337</a:t>
          </a:r>
          <a:endParaRPr lang="en-US" sz="2000" b="1">
            <a:solidFill>
              <a:srgbClr val="22548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93344</xdr:colOff>
      <xdr:row>0</xdr:row>
      <xdr:rowOff>98372</xdr:rowOff>
    </xdr:from>
    <xdr:to>
      <xdr:col>11</xdr:col>
      <xdr:colOff>131444</xdr:colOff>
      <xdr:row>17</xdr:row>
      <xdr:rowOff>125042</xdr:rowOff>
    </xdr:to>
    <xdr:graphicFrame macro="">
      <xdr:nvGraphicFramePr>
        <xdr:cNvPr id="2" name="Chart 1">
          <a:extLst>
            <a:ext uri="{FF2B5EF4-FFF2-40B4-BE49-F238E27FC236}">
              <a16:creationId xmlns:a16="http://schemas.microsoft.com/office/drawing/2014/main" id="{3CB70354-CA09-4D1F-A898-06BA2472A1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170291</xdr:colOff>
      <xdr:row>0</xdr:row>
      <xdr:rowOff>97224</xdr:rowOff>
    </xdr:from>
    <xdr:to>
      <xdr:col>21</xdr:col>
      <xdr:colOff>206486</xdr:colOff>
      <xdr:row>17</xdr:row>
      <xdr:rowOff>123894</xdr:rowOff>
    </xdr:to>
    <xdr:graphicFrame macro="">
      <xdr:nvGraphicFramePr>
        <xdr:cNvPr id="3" name="Chart 2">
          <a:extLst>
            <a:ext uri="{FF2B5EF4-FFF2-40B4-BE49-F238E27FC236}">
              <a16:creationId xmlns:a16="http://schemas.microsoft.com/office/drawing/2014/main" id="{71E3844C-C06D-49A4-8B10-106D579284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93345</xdr:colOff>
      <xdr:row>17</xdr:row>
      <xdr:rowOff>162808</xdr:rowOff>
    </xdr:from>
    <xdr:to>
      <xdr:col>11</xdr:col>
      <xdr:colOff>129540</xdr:colOff>
      <xdr:row>35</xdr:row>
      <xdr:rowOff>32506</xdr:rowOff>
    </xdr:to>
    <xdr:graphicFrame macro="">
      <xdr:nvGraphicFramePr>
        <xdr:cNvPr id="4" name="Chart 3">
          <a:extLst>
            <a:ext uri="{FF2B5EF4-FFF2-40B4-BE49-F238E27FC236}">
              <a16:creationId xmlns:a16="http://schemas.microsoft.com/office/drawing/2014/main" id="{9A3B2368-8338-4DF7-ADCE-405129030D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171379</xdr:colOff>
      <xdr:row>17</xdr:row>
      <xdr:rowOff>162810</xdr:rowOff>
    </xdr:from>
    <xdr:to>
      <xdr:col>21</xdr:col>
      <xdr:colOff>207574</xdr:colOff>
      <xdr:row>35</xdr:row>
      <xdr:rowOff>31365</xdr:rowOff>
    </xdr:to>
    <xdr:graphicFrame macro="">
      <xdr:nvGraphicFramePr>
        <xdr:cNvPr id="5" name="Chart 4">
          <a:extLst>
            <a:ext uri="{FF2B5EF4-FFF2-40B4-BE49-F238E27FC236}">
              <a16:creationId xmlns:a16="http://schemas.microsoft.com/office/drawing/2014/main" id="{B3AEC1D3-5CB2-4387-A795-4C8C18F020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474027</xdr:colOff>
      <xdr:row>0</xdr:row>
      <xdr:rowOff>1485900</xdr:rowOff>
    </xdr:to>
    <xdr:pic>
      <xdr:nvPicPr>
        <xdr:cNvPr id="2" name="Picture 1">
          <a:extLst>
            <a:ext uri="{FF2B5EF4-FFF2-40B4-BE49-F238E27FC236}">
              <a16:creationId xmlns:a16="http://schemas.microsoft.com/office/drawing/2014/main" id="{EFBBA150-302A-48A8-9891-EDAA9F3D78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951152" cy="1485900"/>
        </a:xfrm>
        <a:prstGeom prst="rect">
          <a:avLst/>
        </a:prstGeom>
      </xdr:spPr>
    </xdr:pic>
    <xdr:clientData/>
  </xdr:twoCellAnchor>
  <xdr:twoCellAnchor>
    <xdr:from>
      <xdr:col>1</xdr:col>
      <xdr:colOff>578069</xdr:colOff>
      <xdr:row>0</xdr:row>
      <xdr:rowOff>0</xdr:rowOff>
    </xdr:from>
    <xdr:to>
      <xdr:col>7</xdr:col>
      <xdr:colOff>366656</xdr:colOff>
      <xdr:row>0</xdr:row>
      <xdr:rowOff>1162685</xdr:rowOff>
    </xdr:to>
    <xdr:sp macro="" textlink="">
      <xdr:nvSpPr>
        <xdr:cNvPr id="4" name="TextBox 3">
          <a:extLst>
            <a:ext uri="{FF2B5EF4-FFF2-40B4-BE49-F238E27FC236}">
              <a16:creationId xmlns:a16="http://schemas.microsoft.com/office/drawing/2014/main" id="{AC6A407D-39D7-41C0-BFBA-A4C7A23638F8}"/>
            </a:ext>
          </a:extLst>
        </xdr:cNvPr>
        <xdr:cNvSpPr txBox="1"/>
      </xdr:nvSpPr>
      <xdr:spPr>
        <a:xfrm>
          <a:off x="1188983" y="0"/>
          <a:ext cx="4840121" cy="1162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b="1">
              <a:solidFill>
                <a:srgbClr val="225480"/>
              </a:solidFill>
            </a:rPr>
            <a:t>Feed budget using split sex diets fo </a:t>
          </a:r>
          <a:r>
            <a:rPr lang="en-US" sz="2800" b="1" baseline="0">
              <a:solidFill>
                <a:srgbClr val="225480"/>
              </a:solidFill>
            </a:rPr>
            <a:t>PIC Pigs</a:t>
          </a:r>
          <a:endParaRPr lang="en-US" sz="2800" b="1">
            <a:solidFill>
              <a:srgbClr val="22548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283527</xdr:colOff>
      <xdr:row>0</xdr:row>
      <xdr:rowOff>1485900</xdr:rowOff>
    </xdr:to>
    <xdr:pic>
      <xdr:nvPicPr>
        <xdr:cNvPr id="2" name="Picture 1">
          <a:extLst>
            <a:ext uri="{FF2B5EF4-FFF2-40B4-BE49-F238E27FC236}">
              <a16:creationId xmlns:a16="http://schemas.microsoft.com/office/drawing/2014/main" id="{50D6F739-24E9-49B2-BDD8-346EBF5AC2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951152" cy="1485900"/>
        </a:xfrm>
        <a:prstGeom prst="rect">
          <a:avLst/>
        </a:prstGeom>
      </xdr:spPr>
    </xdr:pic>
    <xdr:clientData/>
  </xdr:twoCellAnchor>
  <xdr:twoCellAnchor>
    <xdr:from>
      <xdr:col>1</xdr:col>
      <xdr:colOff>584637</xdr:colOff>
      <xdr:row>0</xdr:row>
      <xdr:rowOff>13137</xdr:rowOff>
    </xdr:from>
    <xdr:to>
      <xdr:col>7</xdr:col>
      <xdr:colOff>182724</xdr:colOff>
      <xdr:row>0</xdr:row>
      <xdr:rowOff>1175822</xdr:rowOff>
    </xdr:to>
    <xdr:sp macro="" textlink="">
      <xdr:nvSpPr>
        <xdr:cNvPr id="4" name="TextBox 3">
          <a:extLst>
            <a:ext uri="{FF2B5EF4-FFF2-40B4-BE49-F238E27FC236}">
              <a16:creationId xmlns:a16="http://schemas.microsoft.com/office/drawing/2014/main" id="{96F54D40-FC05-4933-A9B2-F80222D76C92}"/>
            </a:ext>
          </a:extLst>
        </xdr:cNvPr>
        <xdr:cNvSpPr txBox="1"/>
      </xdr:nvSpPr>
      <xdr:spPr>
        <a:xfrm>
          <a:off x="1195551" y="13137"/>
          <a:ext cx="4840121" cy="1162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b="1">
              <a:solidFill>
                <a:srgbClr val="225480"/>
              </a:solidFill>
            </a:rPr>
            <a:t>Feed budget using split sex diets fo </a:t>
          </a:r>
          <a:r>
            <a:rPr lang="en-US" sz="2800" b="1" baseline="0">
              <a:solidFill>
                <a:srgbClr val="225480"/>
              </a:solidFill>
            </a:rPr>
            <a:t>PIC Pigs</a:t>
          </a:r>
          <a:endParaRPr lang="en-US" sz="2800" b="1">
            <a:solidFill>
              <a:srgbClr val="22548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283527</xdr:colOff>
      <xdr:row>0</xdr:row>
      <xdr:rowOff>1485900</xdr:rowOff>
    </xdr:to>
    <xdr:pic>
      <xdr:nvPicPr>
        <xdr:cNvPr id="2" name="Picture 1">
          <a:extLst>
            <a:ext uri="{FF2B5EF4-FFF2-40B4-BE49-F238E27FC236}">
              <a16:creationId xmlns:a16="http://schemas.microsoft.com/office/drawing/2014/main" id="{0401B129-4E85-48A7-98E8-C0A554B134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951152" cy="1485900"/>
        </a:xfrm>
        <a:prstGeom prst="rect">
          <a:avLst/>
        </a:prstGeom>
      </xdr:spPr>
    </xdr:pic>
    <xdr:clientData/>
  </xdr:twoCellAnchor>
  <xdr:twoCellAnchor>
    <xdr:from>
      <xdr:col>1</xdr:col>
      <xdr:colOff>578069</xdr:colOff>
      <xdr:row>0</xdr:row>
      <xdr:rowOff>0</xdr:rowOff>
    </xdr:from>
    <xdr:to>
      <xdr:col>7</xdr:col>
      <xdr:colOff>176156</xdr:colOff>
      <xdr:row>0</xdr:row>
      <xdr:rowOff>1162685</xdr:rowOff>
    </xdr:to>
    <xdr:sp macro="" textlink="">
      <xdr:nvSpPr>
        <xdr:cNvPr id="4" name="TextBox 3">
          <a:extLst>
            <a:ext uri="{FF2B5EF4-FFF2-40B4-BE49-F238E27FC236}">
              <a16:creationId xmlns:a16="http://schemas.microsoft.com/office/drawing/2014/main" id="{C4D1EFBC-288F-4E12-BD7A-88AA00BDD79D}"/>
            </a:ext>
          </a:extLst>
        </xdr:cNvPr>
        <xdr:cNvSpPr txBox="1"/>
      </xdr:nvSpPr>
      <xdr:spPr>
        <a:xfrm>
          <a:off x="1188983" y="0"/>
          <a:ext cx="4840121" cy="1162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b="1">
              <a:solidFill>
                <a:srgbClr val="225480"/>
              </a:solidFill>
            </a:rPr>
            <a:t>Feed budget using split sex diets fo </a:t>
          </a:r>
          <a:r>
            <a:rPr lang="en-US" sz="2800" b="1" baseline="0">
              <a:solidFill>
                <a:srgbClr val="225480"/>
              </a:solidFill>
            </a:rPr>
            <a:t>PIC Pigs</a:t>
          </a:r>
          <a:endParaRPr lang="en-US" sz="2800" b="1">
            <a:solidFill>
              <a:srgbClr val="225480"/>
            </a:solidFill>
          </a:endParaRPr>
        </a:p>
      </xdr:txBody>
    </xdr:sp>
    <xdr:clientData/>
  </xdr:twoCellAnchor>
</xdr:wsDr>
</file>

<file path=xl/drawings/drawing8.xml><?xml version="1.0" encoding="utf-8"?>
<xdr:wsDr xmlns:xdr="http://schemas.openxmlformats.org/drawingml/2006/spreadsheetDrawing" xmlns:a="http://schemas.openxmlformats.org/drawingml/2006/main">
  <xdr:absoluteAnchor>
    <xdr:pos x="0" y="0"/>
    <xdr:ext cx="8654143" cy="6272893"/>
    <xdr:graphicFrame macro="">
      <xdr:nvGraphicFramePr>
        <xdr:cNvPr id="2" name="Chart 1">
          <a:extLst>
            <a:ext uri="{FF2B5EF4-FFF2-40B4-BE49-F238E27FC236}">
              <a16:creationId xmlns:a16="http://schemas.microsoft.com/office/drawing/2014/main" id="{C1B6D4B4-19E3-4F26-9F71-190A63CF921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39299" cy="6274130"/>
    <xdr:graphicFrame macro="">
      <xdr:nvGraphicFramePr>
        <xdr:cNvPr id="2" name="Chart 1">
          <a:extLst>
            <a:ext uri="{FF2B5EF4-FFF2-40B4-BE49-F238E27FC236}">
              <a16:creationId xmlns:a16="http://schemas.microsoft.com/office/drawing/2014/main" id="{926CB322-9B9B-40DF-BF17-9403FA8158D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8A008-4560-4594-BC7B-BA4BE581FF97}">
  <sheetPr codeName="Sheet1"/>
  <dimension ref="A1:G184"/>
  <sheetViews>
    <sheetView zoomScaleNormal="100" workbookViewId="0">
      <selection activeCell="I1" sqref="I1"/>
    </sheetView>
  </sheetViews>
  <sheetFormatPr defaultRowHeight="15" x14ac:dyDescent="0.25"/>
  <cols>
    <col min="1" max="1" width="4.42578125" bestFit="1" customWidth="1"/>
    <col min="2" max="2" width="10.5703125" bestFit="1" customWidth="1"/>
    <col min="3" max="3" width="8" bestFit="1" customWidth="1"/>
    <col min="4" max="4" width="8.140625" bestFit="1" customWidth="1"/>
  </cols>
  <sheetData>
    <row r="1" spans="1:6" x14ac:dyDescent="0.25">
      <c r="A1" s="10" t="s">
        <v>72</v>
      </c>
      <c r="B1" s="82" t="s">
        <v>14</v>
      </c>
      <c r="C1" s="82" t="s">
        <v>73</v>
      </c>
      <c r="D1" s="82" t="s">
        <v>74</v>
      </c>
      <c r="E1" s="82" t="s">
        <v>25</v>
      </c>
      <c r="F1" s="82" t="s">
        <v>75</v>
      </c>
    </row>
    <row r="2" spans="1:6" x14ac:dyDescent="0.25">
      <c r="A2" s="83">
        <v>18</v>
      </c>
      <c r="B2" s="54">
        <v>5.65</v>
      </c>
      <c r="C2" s="84">
        <v>6.0000000000000001E-3</v>
      </c>
      <c r="D2" s="84">
        <f>C2*E2</f>
        <v>6.0000000000000001E-3</v>
      </c>
      <c r="E2" s="84">
        <v>1</v>
      </c>
      <c r="F2" s="84">
        <f>D2</f>
        <v>6.0000000000000001E-3</v>
      </c>
    </row>
    <row r="3" spans="1:6" x14ac:dyDescent="0.25">
      <c r="A3" s="83">
        <v>19</v>
      </c>
      <c r="B3" s="54">
        <f>B2+C2</f>
        <v>5.6560000000000006</v>
      </c>
      <c r="C3" s="84">
        <v>3.1103866331733343E-2</v>
      </c>
      <c r="D3" s="84">
        <f t="shared" ref="D3:D8" si="0">C3*E3</f>
        <v>3.1414904995050674E-2</v>
      </c>
      <c r="E3" s="84">
        <v>1.01</v>
      </c>
      <c r="F3" s="84">
        <f>F2+D3</f>
        <v>3.7414904995050673E-2</v>
      </c>
    </row>
    <row r="4" spans="1:6" x14ac:dyDescent="0.25">
      <c r="A4" s="83">
        <v>20</v>
      </c>
      <c r="B4" s="54">
        <f t="shared" ref="B4:B43" si="1">B3+C3</f>
        <v>5.6871038663317339</v>
      </c>
      <c r="C4" s="84">
        <v>5.4748614501715309E-2</v>
      </c>
      <c r="D4" s="84">
        <f t="shared" si="0"/>
        <v>5.5843586791749618E-2</v>
      </c>
      <c r="E4" s="84">
        <v>1.02</v>
      </c>
      <c r="F4" s="84">
        <f t="shared" ref="F4:F67" si="2">F3+D4</f>
        <v>9.3258491786800291E-2</v>
      </c>
    </row>
    <row r="5" spans="1:6" x14ac:dyDescent="0.25">
      <c r="A5" s="83">
        <v>21</v>
      </c>
      <c r="B5" s="54">
        <f t="shared" si="1"/>
        <v>5.7418524808334492</v>
      </c>
      <c r="C5" s="84">
        <v>7.8153987395571889E-2</v>
      </c>
      <c r="D5" s="84">
        <f t="shared" si="0"/>
        <v>8.049860701743905E-2</v>
      </c>
      <c r="E5" s="84">
        <v>1.03</v>
      </c>
      <c r="F5" s="84">
        <f t="shared" si="2"/>
        <v>0.17375709880423934</v>
      </c>
    </row>
    <row r="6" spans="1:6" x14ac:dyDescent="0.25">
      <c r="A6" s="83">
        <v>22</v>
      </c>
      <c r="B6" s="54">
        <f t="shared" si="1"/>
        <v>5.8200064682290211</v>
      </c>
      <c r="C6" s="84">
        <v>0.10101504929189709</v>
      </c>
      <c r="D6" s="84">
        <f t="shared" si="0"/>
        <v>0.10505565126357297</v>
      </c>
      <c r="E6" s="84">
        <v>1.04</v>
      </c>
      <c r="F6" s="84">
        <f t="shared" si="2"/>
        <v>0.27881275006781231</v>
      </c>
    </row>
    <row r="7" spans="1:6" x14ac:dyDescent="0.25">
      <c r="A7" s="83">
        <v>23</v>
      </c>
      <c r="B7" s="54">
        <f t="shared" si="1"/>
        <v>5.9210215175209182</v>
      </c>
      <c r="C7" s="84">
        <v>0.12333180019069001</v>
      </c>
      <c r="D7" s="84">
        <f>C7*E7</f>
        <v>0.12949839020022452</v>
      </c>
      <c r="E7" s="84">
        <v>1.05</v>
      </c>
      <c r="F7" s="84">
        <f t="shared" si="2"/>
        <v>0.40831114026803683</v>
      </c>
    </row>
    <row r="8" spans="1:6" x14ac:dyDescent="0.25">
      <c r="A8" s="83">
        <v>24</v>
      </c>
      <c r="B8" s="54">
        <f t="shared" si="1"/>
        <v>6.0443533177116082</v>
      </c>
      <c r="C8" s="84">
        <v>0.14510424009195244</v>
      </c>
      <c r="D8" s="84">
        <f t="shared" si="0"/>
        <v>0.15381049449746959</v>
      </c>
      <c r="E8" s="84">
        <v>1.06</v>
      </c>
      <c r="F8" s="84">
        <f t="shared" si="2"/>
        <v>0.56212163476550647</v>
      </c>
    </row>
    <row r="9" spans="1:6" x14ac:dyDescent="0.25">
      <c r="A9" s="83">
        <v>25</v>
      </c>
      <c r="B9" s="54">
        <f t="shared" si="1"/>
        <v>6.1894575578035607</v>
      </c>
      <c r="C9" s="84">
        <v>0.1663323689956826</v>
      </c>
      <c r="D9" s="84">
        <f>C9*E9</f>
        <v>0.17963895851533723</v>
      </c>
      <c r="E9" s="84">
        <v>1.08</v>
      </c>
      <c r="F9" s="84">
        <f t="shared" si="2"/>
        <v>0.74176059328084376</v>
      </c>
    </row>
    <row r="10" spans="1:6" x14ac:dyDescent="0.25">
      <c r="A10" s="83">
        <v>26</v>
      </c>
      <c r="B10" s="54">
        <f t="shared" si="1"/>
        <v>6.3557899267992433</v>
      </c>
      <c r="C10" s="84">
        <v>0.18701618690188138</v>
      </c>
      <c r="D10" s="84">
        <f>D9+0.025</f>
        <v>0.20463895851533723</v>
      </c>
      <c r="E10">
        <f t="shared" ref="E10:E73" si="3">D10/C10</f>
        <v>1.0942312636429792</v>
      </c>
      <c r="F10" s="84">
        <f t="shared" si="2"/>
        <v>0.94639955179618096</v>
      </c>
    </row>
    <row r="11" spans="1:6" x14ac:dyDescent="0.25">
      <c r="A11" s="83">
        <v>27</v>
      </c>
      <c r="B11" s="54">
        <f t="shared" si="1"/>
        <v>6.5428061137011246</v>
      </c>
      <c r="C11" s="84">
        <v>0.20715569381054877</v>
      </c>
      <c r="D11" s="84">
        <f>D10+0.025</f>
        <v>0.22963895851533722</v>
      </c>
      <c r="E11">
        <f t="shared" si="3"/>
        <v>1.1085331727611127</v>
      </c>
      <c r="F11" s="84">
        <f t="shared" si="2"/>
        <v>1.1760385103115181</v>
      </c>
    </row>
    <row r="12" spans="1:6" x14ac:dyDescent="0.25">
      <c r="A12" s="83">
        <v>28</v>
      </c>
      <c r="B12" s="54">
        <f t="shared" si="1"/>
        <v>6.7499618075116734</v>
      </c>
      <c r="C12" s="84">
        <v>0.22675088972168478</v>
      </c>
      <c r="D12" s="84">
        <f t="shared" ref="D12:D23" si="4">D11+0.025</f>
        <v>0.25463895851533724</v>
      </c>
      <c r="E12">
        <f t="shared" si="3"/>
        <v>1.1229898979795954</v>
      </c>
      <c r="F12" s="84">
        <f t="shared" si="2"/>
        <v>1.4306774688268553</v>
      </c>
    </row>
    <row r="13" spans="1:6" x14ac:dyDescent="0.25">
      <c r="A13" s="83">
        <v>29</v>
      </c>
      <c r="B13" s="54">
        <f t="shared" si="1"/>
        <v>6.9767126972333582</v>
      </c>
      <c r="C13" s="84">
        <v>0.24580177463528852</v>
      </c>
      <c r="D13" s="84">
        <f>D12+0.025</f>
        <v>0.27963895851533727</v>
      </c>
      <c r="E13">
        <f t="shared" si="3"/>
        <v>1.1376604539582966</v>
      </c>
      <c r="F13" s="84">
        <f t="shared" si="2"/>
        <v>1.7103164273421925</v>
      </c>
    </row>
    <row r="14" spans="1:6" x14ac:dyDescent="0.25">
      <c r="A14" s="83">
        <v>30</v>
      </c>
      <c r="B14" s="54">
        <f t="shared" si="1"/>
        <v>7.2225144718686467</v>
      </c>
      <c r="C14" s="84">
        <v>0.26430834855136176</v>
      </c>
      <c r="D14" s="84">
        <f>D13+0.025</f>
        <v>0.30463895851533729</v>
      </c>
      <c r="E14">
        <f t="shared" si="3"/>
        <v>1.1525892397460094</v>
      </c>
      <c r="F14" s="84">
        <f t="shared" si="2"/>
        <v>2.0149553858575295</v>
      </c>
    </row>
    <row r="15" spans="1:6" x14ac:dyDescent="0.25">
      <c r="A15" s="83">
        <v>31</v>
      </c>
      <c r="B15" s="54">
        <f t="shared" si="1"/>
        <v>7.4868228204200085</v>
      </c>
      <c r="C15" s="84">
        <v>0.28227061146990362</v>
      </c>
      <c r="D15" s="84">
        <f t="shared" si="4"/>
        <v>0.32963895851533731</v>
      </c>
      <c r="E15">
        <f t="shared" si="3"/>
        <v>1.1678118270930384</v>
      </c>
      <c r="F15" s="84">
        <f t="shared" si="2"/>
        <v>2.344594344372867</v>
      </c>
    </row>
    <row r="16" spans="1:6" x14ac:dyDescent="0.25">
      <c r="A16" s="83">
        <v>32</v>
      </c>
      <c r="B16" s="54">
        <f t="shared" si="1"/>
        <v>7.7690934318899121</v>
      </c>
      <c r="C16" s="84">
        <v>0.29968856339091232</v>
      </c>
      <c r="D16" s="84">
        <f t="shared" si="4"/>
        <v>0.35463895851533733</v>
      </c>
      <c r="E16">
        <f t="shared" si="3"/>
        <v>1.1833583320720451</v>
      </c>
      <c r="F16" s="84">
        <f t="shared" si="2"/>
        <v>2.6992333028882043</v>
      </c>
    </row>
    <row r="17" spans="1:6" x14ac:dyDescent="0.25">
      <c r="A17" s="83">
        <v>33</v>
      </c>
      <c r="B17" s="54">
        <f t="shared" si="1"/>
        <v>8.0687819952808244</v>
      </c>
      <c r="C17" s="84">
        <v>0.31656220431439053</v>
      </c>
      <c r="D17" s="84">
        <f t="shared" si="4"/>
        <v>0.37963895851533735</v>
      </c>
      <c r="E17">
        <f t="shared" si="3"/>
        <v>1.1992554807278977</v>
      </c>
      <c r="F17" s="84">
        <f t="shared" si="2"/>
        <v>3.0788722614035415</v>
      </c>
    </row>
    <row r="18" spans="1:6" x14ac:dyDescent="0.25">
      <c r="A18" s="83">
        <v>34</v>
      </c>
      <c r="B18" s="54">
        <f t="shared" si="1"/>
        <v>8.3853441995952149</v>
      </c>
      <c r="C18" s="84">
        <v>0.33289153424033735</v>
      </c>
      <c r="D18" s="84">
        <f t="shared" si="4"/>
        <v>0.40463895851533738</v>
      </c>
      <c r="E18">
        <f t="shared" si="3"/>
        <v>1.2155279329608923</v>
      </c>
      <c r="F18" s="84">
        <f t="shared" si="2"/>
        <v>3.4835112199188787</v>
      </c>
    </row>
    <row r="19" spans="1:6" x14ac:dyDescent="0.25">
      <c r="A19" s="83">
        <v>35</v>
      </c>
      <c r="B19" s="54">
        <f t="shared" si="1"/>
        <v>8.7182357338355523</v>
      </c>
      <c r="C19" s="84">
        <v>0.34867655316875101</v>
      </c>
      <c r="D19" s="84">
        <f t="shared" si="4"/>
        <v>0.4296389585153374</v>
      </c>
      <c r="E19">
        <f t="shared" si="3"/>
        <v>1.2321991674255268</v>
      </c>
      <c r="F19" s="84">
        <f t="shared" si="2"/>
        <v>3.9131501784342162</v>
      </c>
    </row>
    <row r="20" spans="1:6" x14ac:dyDescent="0.25">
      <c r="A20" s="83">
        <v>36</v>
      </c>
      <c r="B20" s="54">
        <f t="shared" si="1"/>
        <v>9.0669122870043033</v>
      </c>
      <c r="C20" s="84">
        <v>0.36391726109963507</v>
      </c>
      <c r="D20" s="84">
        <f t="shared" si="4"/>
        <v>0.45463895851533742</v>
      </c>
      <c r="E20">
        <f t="shared" si="3"/>
        <v>1.2492920977190585</v>
      </c>
      <c r="F20" s="84">
        <f t="shared" si="2"/>
        <v>4.3677891369495541</v>
      </c>
    </row>
    <row r="21" spans="1:6" x14ac:dyDescent="0.25">
      <c r="A21" s="83">
        <v>37</v>
      </c>
      <c r="B21" s="54">
        <f t="shared" si="1"/>
        <v>9.4308295481039384</v>
      </c>
      <c r="C21" s="84">
        <v>0.37861365803298774</v>
      </c>
      <c r="D21" s="84">
        <f t="shared" si="4"/>
        <v>0.47963895851533744</v>
      </c>
      <c r="E21">
        <f t="shared" si="3"/>
        <v>1.2668295195878738</v>
      </c>
      <c r="F21" s="84">
        <f t="shared" si="2"/>
        <v>4.8474280954648918</v>
      </c>
    </row>
    <row r="22" spans="1:6" x14ac:dyDescent="0.25">
      <c r="A22" s="83">
        <v>38</v>
      </c>
      <c r="B22" s="54">
        <f t="shared" si="1"/>
        <v>9.8094432061369261</v>
      </c>
      <c r="C22" s="84">
        <v>0.39276574396880726</v>
      </c>
      <c r="D22" s="84">
        <f t="shared" si="4"/>
        <v>0.50463895851533747</v>
      </c>
      <c r="E22">
        <f t="shared" si="3"/>
        <v>1.2848344497055093</v>
      </c>
      <c r="F22" s="84">
        <f t="shared" si="2"/>
        <v>5.3520670539802291</v>
      </c>
    </row>
    <row r="23" spans="1:6" x14ac:dyDescent="0.25">
      <c r="A23" s="83">
        <v>39</v>
      </c>
      <c r="B23" s="54">
        <f t="shared" si="1"/>
        <v>10.202208950105733</v>
      </c>
      <c r="C23" s="84">
        <v>0.40637351890709539</v>
      </c>
      <c r="D23" s="84">
        <f t="shared" si="4"/>
        <v>0.52963895851533749</v>
      </c>
      <c r="E23">
        <f t="shared" si="3"/>
        <v>1.3033303940171921</v>
      </c>
      <c r="F23" s="84">
        <f t="shared" si="2"/>
        <v>5.8817060124955667</v>
      </c>
    </row>
    <row r="24" spans="1:6" x14ac:dyDescent="0.25">
      <c r="A24" s="83">
        <v>40</v>
      </c>
      <c r="B24" s="54">
        <f t="shared" si="1"/>
        <v>10.608582469012829</v>
      </c>
      <c r="C24" s="84">
        <v>0.41943698284785391</v>
      </c>
      <c r="D24" s="84">
        <f>D23+0.02</f>
        <v>0.54963895851533751</v>
      </c>
      <c r="E24" s="84">
        <f t="shared" si="3"/>
        <v>1.3104208283767693</v>
      </c>
      <c r="F24" s="84">
        <f t="shared" si="2"/>
        <v>6.4313449710109039</v>
      </c>
    </row>
    <row r="25" spans="1:6" x14ac:dyDescent="0.25">
      <c r="A25" s="83">
        <v>41</v>
      </c>
      <c r="B25" s="54">
        <f t="shared" si="1"/>
        <v>11.028019451860683</v>
      </c>
      <c r="C25" s="84">
        <v>0.43195613579107933</v>
      </c>
      <c r="D25" s="84">
        <f t="shared" ref="D25:D29" si="5">D24+0.02</f>
        <v>0.56963895851533752</v>
      </c>
      <c r="E25" s="84">
        <f t="shared" si="3"/>
        <v>1.3187426021211794</v>
      </c>
      <c r="F25" s="84">
        <f t="shared" si="2"/>
        <v>7.0009839295262415</v>
      </c>
    </row>
    <row r="26" spans="1:6" x14ac:dyDescent="0.25">
      <c r="A26" s="83">
        <v>42</v>
      </c>
      <c r="B26" s="54">
        <f t="shared" si="1"/>
        <v>11.459975587651762</v>
      </c>
      <c r="C26" s="84">
        <v>0.44162835821757873</v>
      </c>
      <c r="D26" s="84">
        <f t="shared" si="5"/>
        <v>0.58963895851533754</v>
      </c>
      <c r="E26" s="84">
        <f t="shared" si="3"/>
        <v>1.3351474096797875</v>
      </c>
      <c r="F26" s="84">
        <f t="shared" si="2"/>
        <v>7.5906228880415787</v>
      </c>
    </row>
    <row r="27" spans="1:6" x14ac:dyDescent="0.25">
      <c r="A27" s="83">
        <v>43</v>
      </c>
      <c r="B27" s="54">
        <f t="shared" si="1"/>
        <v>11.90160394586934</v>
      </c>
      <c r="C27" s="84">
        <v>0.45151715792801084</v>
      </c>
      <c r="D27" s="84">
        <f t="shared" si="5"/>
        <v>0.60963895851533756</v>
      </c>
      <c r="E27" s="84">
        <f t="shared" si="3"/>
        <v>1.3502010893958927</v>
      </c>
      <c r="F27" s="84">
        <f t="shared" si="2"/>
        <v>8.2002618465569164</v>
      </c>
    </row>
    <row r="28" spans="1:6" x14ac:dyDescent="0.25">
      <c r="A28" s="83">
        <v>44</v>
      </c>
      <c r="B28" s="54">
        <f t="shared" si="1"/>
        <v>12.353121103797351</v>
      </c>
      <c r="C28" s="84">
        <v>0.46162738445104101</v>
      </c>
      <c r="D28" s="84">
        <f t="shared" si="5"/>
        <v>0.62963895851533758</v>
      </c>
      <c r="E28" s="84">
        <f t="shared" si="3"/>
        <v>1.3639549552808548</v>
      </c>
      <c r="F28" s="84">
        <f t="shared" si="2"/>
        <v>8.8299008050722545</v>
      </c>
    </row>
    <row r="29" spans="1:6" x14ac:dyDescent="0.25">
      <c r="A29" s="83">
        <v>45</v>
      </c>
      <c r="B29" s="54">
        <f t="shared" si="1"/>
        <v>12.814748488248393</v>
      </c>
      <c r="C29" s="84">
        <v>0.4719639959044159</v>
      </c>
      <c r="D29" s="84">
        <f t="shared" si="5"/>
        <v>0.64963895851533759</v>
      </c>
      <c r="E29" s="84">
        <f t="shared" si="3"/>
        <v>1.3764587217515321</v>
      </c>
      <c r="F29" s="84">
        <f t="shared" si="2"/>
        <v>9.4795397635875922</v>
      </c>
    </row>
    <row r="30" spans="1:6" x14ac:dyDescent="0.25">
      <c r="A30" s="83">
        <v>46</v>
      </c>
      <c r="B30" s="54">
        <f t="shared" si="1"/>
        <v>13.286712484152808</v>
      </c>
      <c r="C30" s="84">
        <v>0.48253206142645505</v>
      </c>
      <c r="D30" s="84">
        <f>D29+0.023</f>
        <v>0.67263895851533761</v>
      </c>
      <c r="E30" s="84">
        <f t="shared" si="3"/>
        <v>1.3939777525391599</v>
      </c>
      <c r="F30" s="84">
        <f t="shared" si="2"/>
        <v>10.15217872210293</v>
      </c>
    </row>
    <row r="31" spans="1:6" x14ac:dyDescent="0.25">
      <c r="A31" s="83">
        <v>47</v>
      </c>
      <c r="B31" s="54">
        <f t="shared" si="1"/>
        <v>13.769244545579264</v>
      </c>
      <c r="C31" s="84">
        <v>0.49333676366198781</v>
      </c>
      <c r="D31" s="84">
        <f t="shared" ref="D31:D37" si="6">D30+0.023</f>
        <v>0.69563895851533764</v>
      </c>
      <c r="E31" s="84">
        <f t="shared" si="3"/>
        <v>1.41006916523245</v>
      </c>
      <c r="F31" s="84">
        <f t="shared" si="2"/>
        <v>10.847817680618267</v>
      </c>
    </row>
    <row r="32" spans="1:6" x14ac:dyDescent="0.25">
      <c r="A32" s="83">
        <v>48</v>
      </c>
      <c r="B32" s="54">
        <f t="shared" si="1"/>
        <v>14.262581309241252</v>
      </c>
      <c r="C32" s="84">
        <v>0.50438340130395432</v>
      </c>
      <c r="D32" s="84">
        <f t="shared" si="6"/>
        <v>0.71863895851533766</v>
      </c>
      <c r="E32" s="84">
        <f t="shared" si="3"/>
        <v>1.4247870898556145</v>
      </c>
      <c r="F32" s="84">
        <f t="shared" si="2"/>
        <v>11.566456639133605</v>
      </c>
    </row>
    <row r="33" spans="1:7" x14ac:dyDescent="0.25">
      <c r="A33" s="83">
        <v>49</v>
      </c>
      <c r="B33" s="54">
        <f t="shared" si="1"/>
        <v>14.766964710545206</v>
      </c>
      <c r="C33" s="84">
        <v>0.5156773916919174</v>
      </c>
      <c r="D33" s="84">
        <f t="shared" si="6"/>
        <v>0.74163895851533768</v>
      </c>
      <c r="E33" s="84">
        <f t="shared" si="3"/>
        <v>1.4381839701795907</v>
      </c>
      <c r="F33" s="84">
        <f t="shared" si="2"/>
        <v>12.308095597648943</v>
      </c>
    </row>
    <row r="34" spans="1:7" x14ac:dyDescent="0.25">
      <c r="A34" s="83">
        <v>50</v>
      </c>
      <c r="B34" s="54">
        <f t="shared" si="1"/>
        <v>15.282642102237125</v>
      </c>
      <c r="C34" s="84">
        <v>0.52722427346875989</v>
      </c>
      <c r="D34" s="84">
        <f t="shared" si="6"/>
        <v>0.7646389585153377</v>
      </c>
      <c r="E34" s="84">
        <f t="shared" si="3"/>
        <v>1.450310611619906</v>
      </c>
      <c r="F34" s="84">
        <f t="shared" si="2"/>
        <v>13.072734556164281</v>
      </c>
    </row>
    <row r="35" spans="1:7" x14ac:dyDescent="0.25">
      <c r="A35" s="83">
        <v>51</v>
      </c>
      <c r="B35" s="54">
        <f t="shared" si="1"/>
        <v>15.809866375705884</v>
      </c>
      <c r="C35" s="84">
        <v>0.53902970929686855</v>
      </c>
      <c r="D35" s="84">
        <f t="shared" si="6"/>
        <v>0.78763895851533772</v>
      </c>
      <c r="E35" s="84">
        <f t="shared" si="3"/>
        <v>1.4612162278453349</v>
      </c>
      <c r="F35" s="84">
        <f t="shared" si="2"/>
        <v>13.860373514679619</v>
      </c>
    </row>
    <row r="36" spans="1:7" x14ac:dyDescent="0.25">
      <c r="A36" s="83">
        <v>52</v>
      </c>
      <c r="B36" s="54">
        <f t="shared" si="1"/>
        <v>16.348896085002753</v>
      </c>
      <c r="C36" s="84">
        <v>0.5510994886351398</v>
      </c>
      <c r="D36" s="84">
        <f t="shared" si="6"/>
        <v>0.81063895851533774</v>
      </c>
      <c r="E36" s="84">
        <f t="shared" si="3"/>
        <v>1.4709484861308377</v>
      </c>
      <c r="F36" s="84">
        <f t="shared" si="2"/>
        <v>14.671012473194956</v>
      </c>
    </row>
    <row r="37" spans="1:7" x14ac:dyDescent="0.25">
      <c r="A37" s="83">
        <v>53</v>
      </c>
      <c r="B37" s="54">
        <f t="shared" si="1"/>
        <v>16.899995573637892</v>
      </c>
      <c r="C37" s="84">
        <v>0.56343953057816532</v>
      </c>
      <c r="D37" s="84">
        <f t="shared" si="6"/>
        <v>0.83363895851533776</v>
      </c>
      <c r="E37" s="84">
        <f t="shared" si="3"/>
        <v>1.4795535514874352</v>
      </c>
      <c r="F37" s="84">
        <f t="shared" si="2"/>
        <v>15.504651431710293</v>
      </c>
    </row>
    <row r="38" spans="1:7" x14ac:dyDescent="0.25">
      <c r="A38" s="83">
        <v>54</v>
      </c>
      <c r="B38" s="54">
        <f t="shared" si="1"/>
        <v>17.463435104216057</v>
      </c>
      <c r="C38" s="84">
        <v>0.57605588675899355</v>
      </c>
      <c r="D38" s="84">
        <f t="shared" ref="D38:D39" si="7">D37+0.025</f>
        <v>0.85863895851533778</v>
      </c>
      <c r="E38" s="84">
        <f t="shared" si="3"/>
        <v>1.4905480149612107</v>
      </c>
      <c r="F38" s="84">
        <f t="shared" si="2"/>
        <v>16.363290390225632</v>
      </c>
    </row>
    <row r="39" spans="1:7" x14ac:dyDescent="0.25">
      <c r="A39" s="83">
        <v>55</v>
      </c>
      <c r="B39" s="54">
        <f t="shared" si="1"/>
        <v>18.03949099097505</v>
      </c>
      <c r="C39" s="84">
        <v>0.58895474431688732</v>
      </c>
      <c r="D39" s="84">
        <f t="shared" si="7"/>
        <v>0.8836389585153378</v>
      </c>
      <c r="E39" s="84">
        <f t="shared" si="3"/>
        <v>1.5003512019251102</v>
      </c>
      <c r="F39" s="84">
        <f t="shared" si="2"/>
        <v>17.24692934874097</v>
      </c>
    </row>
    <row r="40" spans="1:7" x14ac:dyDescent="0.25">
      <c r="A40" s="87">
        <v>56</v>
      </c>
      <c r="B40" s="54">
        <f t="shared" si="1"/>
        <v>18.628445735291937</v>
      </c>
      <c r="C40" s="84">
        <v>0.6021424289315358</v>
      </c>
      <c r="D40" s="84">
        <f>D39+0.03</f>
        <v>0.91363895851533783</v>
      </c>
      <c r="E40" s="84">
        <f t="shared" si="3"/>
        <v>1.5173137029000485</v>
      </c>
      <c r="F40" s="84">
        <f t="shared" si="2"/>
        <v>18.160568307256309</v>
      </c>
    </row>
    <row r="41" spans="1:7" x14ac:dyDescent="0.25">
      <c r="A41" s="88">
        <v>57</v>
      </c>
      <c r="B41" s="54">
        <f t="shared" si="1"/>
        <v>19.230588164223473</v>
      </c>
      <c r="C41" s="84">
        <v>0.61562540792520681</v>
      </c>
      <c r="D41" s="84">
        <f t="shared" ref="D41:D42" si="8">D40+0.03</f>
        <v>0.94363895851533786</v>
      </c>
      <c r="E41" s="84">
        <f t="shared" si="3"/>
        <v>1.5328135362307558</v>
      </c>
      <c r="F41" s="84">
        <f t="shared" si="2"/>
        <v>19.104207265771645</v>
      </c>
    </row>
    <row r="42" spans="1:7" x14ac:dyDescent="0.25">
      <c r="A42" s="88">
        <v>58</v>
      </c>
      <c r="B42" s="54">
        <f t="shared" si="1"/>
        <v>19.846213572148681</v>
      </c>
      <c r="C42" s="84">
        <v>0.62941029343436183</v>
      </c>
      <c r="D42" s="84">
        <f t="shared" si="8"/>
        <v>0.97363895851533788</v>
      </c>
      <c r="E42" s="84">
        <f t="shared" si="3"/>
        <v>1.5469066341490871</v>
      </c>
      <c r="F42" s="84">
        <f t="shared" si="2"/>
        <v>20.077846224286983</v>
      </c>
    </row>
    <row r="43" spans="1:7" x14ac:dyDescent="0.25">
      <c r="A43" s="89">
        <v>59</v>
      </c>
      <c r="B43" s="96">
        <f t="shared" si="1"/>
        <v>20.475623865583042</v>
      </c>
      <c r="C43" s="97">
        <v>0.64350384565228858</v>
      </c>
      <c r="D43" s="97">
        <f>D42+0.024</f>
        <v>0.9976389585153379</v>
      </c>
      <c r="E43" s="97">
        <f t="shared" si="3"/>
        <v>1.5503232269017442</v>
      </c>
      <c r="F43" s="97">
        <f t="shared" si="2"/>
        <v>21.075485182802321</v>
      </c>
      <c r="G43" s="2"/>
    </row>
    <row r="44" spans="1:7" x14ac:dyDescent="0.25">
      <c r="A44">
        <v>60</v>
      </c>
      <c r="B44" s="86">
        <v>21.118767245594924</v>
      </c>
      <c r="C44" s="84">
        <v>0.65791297614434174</v>
      </c>
      <c r="D44" s="84">
        <v>1.0210304359021636</v>
      </c>
      <c r="E44" s="84">
        <f t="shared" si="3"/>
        <v>1.5519232374558856</v>
      </c>
      <c r="F44" s="84">
        <f t="shared" si="2"/>
        <v>22.096515618704483</v>
      </c>
    </row>
    <row r="45" spans="1:7" x14ac:dyDescent="0.25">
      <c r="A45">
        <v>61</v>
      </c>
      <c r="B45" s="2">
        <v>21.776680221739266</v>
      </c>
      <c r="C45" s="84">
        <f t="shared" ref="C45:C108" si="9">B46-B45</f>
        <v>0.66721022807321617</v>
      </c>
      <c r="D45" s="1">
        <v>1.0501826107235677</v>
      </c>
      <c r="E45" s="85">
        <f t="shared" si="3"/>
        <v>1.5739905752888519</v>
      </c>
      <c r="F45" s="84">
        <f t="shared" si="2"/>
        <v>23.146698229428051</v>
      </c>
    </row>
    <row r="46" spans="1:7" x14ac:dyDescent="0.25">
      <c r="A46">
        <v>62</v>
      </c>
      <c r="B46" s="2">
        <v>22.443890449812482</v>
      </c>
      <c r="C46" s="84">
        <f t="shared" si="9"/>
        <v>0.67638012140200487</v>
      </c>
      <c r="D46" s="1">
        <v>1.0795110078548809</v>
      </c>
      <c r="E46" s="85">
        <f t="shared" si="3"/>
        <v>1.5960123216177078</v>
      </c>
      <c r="F46" s="84">
        <f t="shared" si="2"/>
        <v>24.22620923728293</v>
      </c>
    </row>
    <row r="47" spans="1:7" x14ac:dyDescent="0.25">
      <c r="A47">
        <v>63</v>
      </c>
      <c r="B47" s="2">
        <v>23.120270571214487</v>
      </c>
      <c r="C47" s="84">
        <f t="shared" si="9"/>
        <v>0.68542067194310263</v>
      </c>
      <c r="D47" s="1">
        <v>1.1089966437764907</v>
      </c>
      <c r="E47" s="85">
        <f t="shared" si="3"/>
        <v>1.6179795695869374</v>
      </c>
      <c r="F47" s="84">
        <f t="shared" si="2"/>
        <v>25.335205881059419</v>
      </c>
    </row>
    <row r="48" spans="1:7" x14ac:dyDescent="0.25">
      <c r="A48">
        <v>64</v>
      </c>
      <c r="B48" s="2">
        <v>23.80569124315759</v>
      </c>
      <c r="C48" s="84">
        <f t="shared" si="9"/>
        <v>0.69432998471660312</v>
      </c>
      <c r="D48" s="1">
        <v>1.1386204883163993</v>
      </c>
      <c r="E48" s="85">
        <f t="shared" si="3"/>
        <v>1.639883792115268</v>
      </c>
      <c r="F48" s="84">
        <f t="shared" si="2"/>
        <v>26.473826369375818</v>
      </c>
    </row>
    <row r="49" spans="1:6" x14ac:dyDescent="0.25">
      <c r="A49">
        <v>65</v>
      </c>
      <c r="B49" s="2">
        <v>24.500021227874193</v>
      </c>
      <c r="C49" s="84">
        <f t="shared" si="9"/>
        <v>0.70310625377907954</v>
      </c>
      <c r="D49" s="1">
        <v>1.1683635012877533</v>
      </c>
      <c r="E49" s="85">
        <f t="shared" si="3"/>
        <v>1.661716838682622</v>
      </c>
      <c r="F49" s="84">
        <f t="shared" si="2"/>
        <v>27.642189870663572</v>
      </c>
    </row>
    <row r="50" spans="1:6" x14ac:dyDescent="0.25">
      <c r="A50">
        <v>66</v>
      </c>
      <c r="B50" s="2">
        <v>25.203127481653272</v>
      </c>
      <c r="C50" s="84">
        <f t="shared" si="9"/>
        <v>0.71174776200101419</v>
      </c>
      <c r="D50" s="1">
        <v>1.1982066688855144</v>
      </c>
      <c r="E50" s="85">
        <f t="shared" si="3"/>
        <v>1.6834709329002526</v>
      </c>
      <c r="F50" s="84">
        <f t="shared" si="2"/>
        <v>28.840396539549086</v>
      </c>
    </row>
    <row r="51" spans="1:6" x14ac:dyDescent="0.25">
      <c r="A51">
        <v>67</v>
      </c>
      <c r="B51" s="2">
        <v>25.914875243654286</v>
      </c>
      <c r="C51" s="84">
        <f t="shared" si="9"/>
        <v>0.72025288079131755</v>
      </c>
      <c r="D51" s="1">
        <v>1.2281310397061247</v>
      </c>
      <c r="E51" s="85">
        <f t="shared" si="3"/>
        <v>1.7051386706802458</v>
      </c>
      <c r="F51" s="84">
        <f t="shared" si="2"/>
        <v>30.06852757925521</v>
      </c>
    </row>
    <row r="52" spans="1:6" x14ac:dyDescent="0.25">
      <c r="A52">
        <v>68</v>
      </c>
      <c r="B52" s="2">
        <v>26.635128124445604</v>
      </c>
      <c r="C52" s="84">
        <f t="shared" si="9"/>
        <v>0.72862006976777138</v>
      </c>
      <c r="D52" s="1">
        <v>1.2581177602572642</v>
      </c>
      <c r="E52" s="85">
        <f t="shared" si="3"/>
        <v>1.7267130188415705</v>
      </c>
      <c r="F52" s="84">
        <f t="shared" si="2"/>
        <v>31.326645339512474</v>
      </c>
    </row>
    <row r="53" spans="1:6" x14ac:dyDescent="0.25">
      <c r="A53">
        <v>69</v>
      </c>
      <c r="B53" s="2">
        <v>27.363748194213375</v>
      </c>
      <c r="C53" s="84">
        <f t="shared" si="9"/>
        <v>0.73684787637263938</v>
      </c>
      <c r="D53" s="1">
        <v>1.288148109828801</v>
      </c>
      <c r="E53" s="85">
        <f t="shared" si="3"/>
        <v>1.7481873140085669</v>
      </c>
      <c r="F53" s="84">
        <f t="shared" si="2"/>
        <v>32.614793449341278</v>
      </c>
    </row>
    <row r="54" spans="1:6" x14ac:dyDescent="0.25">
      <c r="A54">
        <v>70</v>
      </c>
      <c r="B54" s="2">
        <v>28.100596070586015</v>
      </c>
      <c r="C54" s="84">
        <f t="shared" si="9"/>
        <v>0.74493493543268841</v>
      </c>
      <c r="D54" s="1">
        <v>1.3182035346007943</v>
      </c>
      <c r="E54" s="85">
        <f t="shared" si="3"/>
        <v>1.7695552616754755</v>
      </c>
      <c r="F54" s="84">
        <f t="shared" si="2"/>
        <v>33.932996983942076</v>
      </c>
    </row>
    <row r="55" spans="1:6" x14ac:dyDescent="0.25">
      <c r="A55">
        <v>71</v>
      </c>
      <c r="B55" s="2">
        <v>28.845531006018703</v>
      </c>
      <c r="C55" s="84">
        <f t="shared" si="9"/>
        <v>0.75287996866357076</v>
      </c>
      <c r="D55" s="1">
        <v>1.3482656808698184</v>
      </c>
      <c r="E55" s="85">
        <f t="shared" si="3"/>
        <v>1.7908109353249368</v>
      </c>
      <c r="F55" s="84">
        <f t="shared" si="2"/>
        <v>35.281262664811891</v>
      </c>
    </row>
    <row r="56" spans="1:6" x14ac:dyDescent="0.25">
      <c r="A56">
        <v>72</v>
      </c>
      <c r="B56" s="2">
        <v>29.598410974682274</v>
      </c>
      <c r="C56" s="84">
        <f t="shared" si="9"/>
        <v>0.76068178411815524</v>
      </c>
      <c r="D56" s="1">
        <v>1.3783164272809321</v>
      </c>
      <c r="E56" s="85">
        <f t="shared" si="3"/>
        <v>1.8119487755037931</v>
      </c>
      <c r="F56" s="84">
        <f t="shared" si="2"/>
        <v>36.65957909209282</v>
      </c>
    </row>
    <row r="57" spans="1:6" x14ac:dyDescent="0.25">
      <c r="A57">
        <v>73</v>
      </c>
      <c r="B57" s="2">
        <v>30.359092758800429</v>
      </c>
      <c r="C57" s="84">
        <f t="shared" si="9"/>
        <v>0.76833927557926529</v>
      </c>
      <c r="D57" s="1">
        <v>1.4083379159592655</v>
      </c>
      <c r="E57" s="85">
        <f t="shared" si="3"/>
        <v>1.8329635887707203</v>
      </c>
      <c r="F57" s="84">
        <f t="shared" si="2"/>
        <v>38.067917008052085</v>
      </c>
    </row>
    <row r="58" spans="1:6" x14ac:dyDescent="0.25">
      <c r="A58">
        <v>74</v>
      </c>
      <c r="B58" s="2">
        <v>31.127432034379694</v>
      </c>
      <c r="C58" s="84">
        <f t="shared" si="9"/>
        <v>0.77585142189714418</v>
      </c>
      <c r="D58" s="1">
        <v>1.4383125824423098</v>
      </c>
      <c r="E58" s="85">
        <f t="shared" si="3"/>
        <v>1.8538505464426269</v>
      </c>
      <c r="F58" s="84">
        <f t="shared" si="2"/>
        <v>39.506229590494392</v>
      </c>
    </row>
    <row r="59" spans="1:6" x14ac:dyDescent="0.25">
      <c r="A59">
        <v>75</v>
      </c>
      <c r="B59" s="2">
        <v>31.903283456276839</v>
      </c>
      <c r="C59" s="84">
        <f t="shared" si="9"/>
        <v>0.78321728627188492</v>
      </c>
      <c r="D59" s="1">
        <v>1.4682231843216345</v>
      </c>
      <c r="E59" s="85">
        <f t="shared" si="3"/>
        <v>1.8746051830780937</v>
      </c>
      <c r="F59" s="84">
        <f t="shared" si="2"/>
        <v>40.974452774816029</v>
      </c>
    </row>
    <row r="60" spans="1:6" x14ac:dyDescent="0.25">
      <c r="A60">
        <v>76</v>
      </c>
      <c r="B60" s="2">
        <v>32.686500742548724</v>
      </c>
      <c r="C60" s="84">
        <f t="shared" si="9"/>
        <v>0.79043601548199405</v>
      </c>
      <c r="D60" s="1">
        <v>1.4980528285107182</v>
      </c>
      <c r="E60" s="85">
        <f t="shared" si="3"/>
        <v>1.8952233946440709</v>
      </c>
      <c r="F60" s="84">
        <f t="shared" si="2"/>
        <v>42.472505603326745</v>
      </c>
    </row>
    <row r="61" spans="1:6" x14ac:dyDescent="0.25">
      <c r="A61">
        <v>77</v>
      </c>
      <c r="B61" s="2">
        <v>33.476936758030718</v>
      </c>
      <c r="C61" s="84">
        <f t="shared" si="9"/>
        <v>0.79750683905976416</v>
      </c>
      <c r="D61" s="1">
        <v>1.5277849970639017</v>
      </c>
      <c r="E61" s="85">
        <f t="shared" si="3"/>
        <v>1.9157014363226186</v>
      </c>
      <c r="F61" s="84">
        <f t="shared" si="2"/>
        <v>44.000290600390649</v>
      </c>
    </row>
    <row r="62" spans="1:6" x14ac:dyDescent="0.25">
      <c r="A62">
        <v>78</v>
      </c>
      <c r="B62" s="2">
        <v>34.274443597090482</v>
      </c>
      <c r="C62" s="84">
        <f t="shared" si="9"/>
        <v>0.80442906841432205</v>
      </c>
      <c r="D62" s="1">
        <v>1.5574035714800547</v>
      </c>
      <c r="E62" s="85">
        <f t="shared" si="3"/>
        <v>1.9360359199226653</v>
      </c>
      <c r="F62" s="84">
        <f t="shared" si="2"/>
        <v>45.5576941718707</v>
      </c>
    </row>
    <row r="63" spans="1:6" x14ac:dyDescent="0.25">
      <c r="A63">
        <v>79</v>
      </c>
      <c r="B63" s="2">
        <v>35.078872665504804</v>
      </c>
      <c r="C63" s="84">
        <f t="shared" si="9"/>
        <v>0.81120209590400805</v>
      </c>
      <c r="D63" s="1">
        <v>1.5868928554332546</v>
      </c>
      <c r="E63" s="85">
        <f t="shared" si="3"/>
        <v>1.9562238108677623</v>
      </c>
      <c r="F63" s="84">
        <f t="shared" si="2"/>
        <v>47.144587027303956</v>
      </c>
    </row>
    <row r="64" spans="1:6" x14ac:dyDescent="0.25">
      <c r="A64">
        <v>80</v>
      </c>
      <c r="B64" s="2">
        <v>35.890074761408812</v>
      </c>
      <c r="C64" s="84">
        <f t="shared" si="9"/>
        <v>0.81782539385883979</v>
      </c>
      <c r="D64" s="1">
        <v>1.6162375958817081</v>
      </c>
      <c r="E64" s="85">
        <f t="shared" si="3"/>
        <v>1.9762624247403568</v>
      </c>
      <c r="F64" s="84">
        <f t="shared" si="2"/>
        <v>48.760824623185663</v>
      </c>
    </row>
    <row r="65" spans="1:6" x14ac:dyDescent="0.25">
      <c r="A65">
        <v>81</v>
      </c>
      <c r="B65" s="2">
        <v>36.707900155267652</v>
      </c>
      <c r="C65" s="84">
        <f t="shared" si="9"/>
        <v>0.82429851355482953</v>
      </c>
      <c r="D65" s="1">
        <v>1.6454230025150056</v>
      </c>
      <c r="E65" s="85">
        <f t="shared" si="3"/>
        <v>1.9961494233673123</v>
      </c>
      <c r="F65" s="84">
        <f t="shared" si="2"/>
        <v>50.406247625700665</v>
      </c>
    </row>
    <row r="66" spans="1:6" x14ac:dyDescent="0.25">
      <c r="A66">
        <v>82</v>
      </c>
      <c r="B66" s="2">
        <v>37.532198668822481</v>
      </c>
      <c r="C66" s="84">
        <f t="shared" si="9"/>
        <v>0.83062108414184621</v>
      </c>
      <c r="D66" s="1">
        <v>1.6744347655087433</v>
      </c>
      <c r="E66" s="85">
        <f t="shared" si="3"/>
        <v>2.0158828104377831</v>
      </c>
      <c r="F66" s="84">
        <f t="shared" si="2"/>
        <v>52.080682391209407</v>
      </c>
    </row>
    <row r="67" spans="1:6" x14ac:dyDescent="0.25">
      <c r="A67">
        <v>83</v>
      </c>
      <c r="B67" s="2">
        <v>38.362819752964327</v>
      </c>
      <c r="C67" s="84">
        <f t="shared" si="9"/>
        <v>0.83679281152578966</v>
      </c>
      <c r="D67" s="1">
        <v>1.7032590715643761</v>
      </c>
      <c r="E67" s="85">
        <f t="shared" si="3"/>
        <v>2.0354609266524299</v>
      </c>
      <c r="F67" s="84">
        <f t="shared" si="2"/>
        <v>53.783941462773782</v>
      </c>
    </row>
    <row r="68" spans="1:6" x14ac:dyDescent="0.25">
      <c r="A68">
        <v>84</v>
      </c>
      <c r="B68" s="2">
        <v>39.199612564490117</v>
      </c>
      <c r="C68" s="84">
        <f t="shared" si="9"/>
        <v>0.84281347720815347</v>
      </c>
      <c r="D68" s="1">
        <v>1.7318826182208045</v>
      </c>
      <c r="E68" s="85">
        <f t="shared" si="3"/>
        <v>2.0548824444024327</v>
      </c>
      <c r="F68" s="84">
        <f t="shared" ref="F68:F131" si="10">F67+D68</f>
        <v>55.515824080994584</v>
      </c>
    </row>
    <row r="69" spans="1:6" x14ac:dyDescent="0.25">
      <c r="A69">
        <v>85</v>
      </c>
      <c r="B69" s="2">
        <v>40.04242604169827</v>
      </c>
      <c r="C69" s="84">
        <f t="shared" si="9"/>
        <v>0.84868293708318987</v>
      </c>
      <c r="D69" s="1">
        <v>1.7602926264327861</v>
      </c>
      <c r="E69" s="85">
        <f t="shared" si="3"/>
        <v>2.0741463619884679</v>
      </c>
      <c r="F69" s="84">
        <f t="shared" si="10"/>
        <v>57.27611670742737</v>
      </c>
    </row>
    <row r="70" spans="1:6" x14ac:dyDescent="0.25">
      <c r="A70">
        <v>86</v>
      </c>
      <c r="B70" s="2">
        <v>40.89110897878146</v>
      </c>
      <c r="C70" s="84">
        <f t="shared" si="9"/>
        <v>0.85440112019596626</v>
      </c>
      <c r="D70" s="1">
        <v>1.7884768514193998</v>
      </c>
      <c r="E70" s="85">
        <f t="shared" si="3"/>
        <v>2.0932519973864183</v>
      </c>
      <c r="F70" s="84">
        <f t="shared" si="10"/>
        <v>59.064593558846767</v>
      </c>
    </row>
    <row r="71" spans="1:6" x14ac:dyDescent="0.25">
      <c r="A71">
        <v>87</v>
      </c>
      <c r="B71" s="2">
        <v>41.745510098977427</v>
      </c>
      <c r="C71" s="84">
        <f t="shared" si="9"/>
        <v>0.85996802746220879</v>
      </c>
      <c r="D71" s="1">
        <v>1.8164235917938449</v>
      </c>
      <c r="E71" s="85">
        <f t="shared" si="3"/>
        <v>2.1121989815762858</v>
      </c>
      <c r="F71" s="84">
        <f t="shared" si="10"/>
        <v>60.881017150640609</v>
      </c>
    </row>
    <row r="72" spans="1:6" x14ac:dyDescent="0.25">
      <c r="A72">
        <v>88</v>
      </c>
      <c r="B72" s="2">
        <v>42.605478126439635</v>
      </c>
      <c r="C72" s="84">
        <f t="shared" si="9"/>
        <v>0.86538373035220673</v>
      </c>
      <c r="D72" s="1">
        <v>1.8441216969933927</v>
      </c>
      <c r="E72" s="85">
        <f t="shared" si="3"/>
        <v>2.1309872514506885</v>
      </c>
      <c r="F72" s="84">
        <f t="shared" si="10"/>
        <v>62.725138847634</v>
      </c>
    </row>
    <row r="73" spans="1:6" x14ac:dyDescent="0.25">
      <c r="A73">
        <v>89</v>
      </c>
      <c r="B73" s="2">
        <v>43.470861856791842</v>
      </c>
      <c r="C73" s="84">
        <f t="shared" si="9"/>
        <v>0.87064836954104408</v>
      </c>
      <c r="D73" s="1">
        <v>1.8715605730355684</v>
      </c>
      <c r="E73" s="85">
        <f t="shared" si="3"/>
        <v>2.1496170423223186</v>
      </c>
      <c r="F73" s="84">
        <f t="shared" si="10"/>
        <v>64.596699420669566</v>
      </c>
    </row>
    <row r="74" spans="1:6" x14ac:dyDescent="0.25">
      <c r="A74">
        <v>90</v>
      </c>
      <c r="B74" s="2">
        <v>44.341510226332886</v>
      </c>
      <c r="C74" s="84">
        <f t="shared" si="9"/>
        <v>0.87576215352669351</v>
      </c>
      <c r="D74" s="1">
        <v>1.8987301866334616</v>
      </c>
      <c r="E74" s="85">
        <f t="shared" ref="E74:E137" si="11">D74/C74</f>
        <v>2.1680888800541069</v>
      </c>
      <c r="F74" s="84">
        <f t="shared" si="10"/>
        <v>66.495429607303024</v>
      </c>
    </row>
    <row r="75" spans="1:6" x14ac:dyDescent="0.25">
      <c r="A75">
        <v>91</v>
      </c>
      <c r="B75" s="2">
        <v>45.21727237985958</v>
      </c>
      <c r="C75" s="84">
        <f t="shared" si="9"/>
        <v>0.88072535721835976</v>
      </c>
      <c r="D75" s="1">
        <v>1.9256210677093988</v>
      </c>
      <c r="E75" s="85">
        <f t="shared" si="11"/>
        <v>2.186403572835903</v>
      </c>
      <c r="F75" s="84">
        <f t="shared" si="10"/>
        <v>68.421050675012424</v>
      </c>
    </row>
    <row r="76" spans="1:6" x14ac:dyDescent="0.25">
      <c r="A76">
        <v>92</v>
      </c>
      <c r="B76" s="2">
        <v>46.097997737077939</v>
      </c>
      <c r="C76" s="84">
        <f t="shared" si="9"/>
        <v>0.88553832049718295</v>
      </c>
      <c r="D76" s="1">
        <v>1.9522243103521277</v>
      </c>
      <c r="E76" s="85">
        <f t="shared" si="11"/>
        <v>2.204562202634051</v>
      </c>
      <c r="F76" s="84">
        <f t="shared" si="10"/>
        <v>70.373274985364546</v>
      </c>
    </row>
    <row r="77" spans="1:6" x14ac:dyDescent="0.25">
      <c r="A77">
        <v>93</v>
      </c>
      <c r="B77" s="2">
        <v>46.983536057575122</v>
      </c>
      <c r="C77" s="84">
        <f t="shared" si="9"/>
        <v>0.89020144675096446</v>
      </c>
      <c r="D77" s="1">
        <v>1.9785315722680665</v>
      </c>
      <c r="E77" s="85">
        <f t="shared" si="11"/>
        <v>2.2225661163428376</v>
      </c>
      <c r="F77" s="84">
        <f t="shared" si="10"/>
        <v>72.351806557632614</v>
      </c>
    </row>
    <row r="78" spans="1:6" x14ac:dyDescent="0.25">
      <c r="A78">
        <v>94</v>
      </c>
      <c r="B78" s="2">
        <v>47.873737504326087</v>
      </c>
      <c r="C78" s="84">
        <f t="shared" si="9"/>
        <v>0.89471520138570781</v>
      </c>
      <c r="D78" s="1">
        <v>2.0045350727820388</v>
      </c>
      <c r="E78" s="85">
        <f t="shared" si="11"/>
        <v>2.2404169166651862</v>
      </c>
      <c r="F78" s="84">
        <f t="shared" si="10"/>
        <v>74.356341630414647</v>
      </c>
    </row>
    <row r="79" spans="1:6" x14ac:dyDescent="0.25">
      <c r="A79">
        <v>95</v>
      </c>
      <c r="B79" s="2">
        <v>48.768452705711795</v>
      </c>
      <c r="C79" s="84">
        <f t="shared" si="9"/>
        <v>0.89908011031527479</v>
      </c>
      <c r="D79" s="1">
        <v>2.0302275894473265</v>
      </c>
      <c r="E79" s="85">
        <f t="shared" si="11"/>
        <v>2.2581164527545821</v>
      </c>
      <c r="F79" s="84">
        <f t="shared" si="10"/>
        <v>76.386569219861968</v>
      </c>
    </row>
    <row r="80" spans="1:6" x14ac:dyDescent="0.25">
      <c r="A80">
        <v>96</v>
      </c>
      <c r="B80" s="2">
        <v>49.667532816027069</v>
      </c>
      <c r="C80" s="84">
        <f t="shared" si="9"/>
        <v>0.90329675843201329</v>
      </c>
      <c r="D80" s="1">
        <v>2.0556024533286958</v>
      </c>
      <c r="E80" s="85">
        <f t="shared" si="11"/>
        <v>2.2756668106469364</v>
      </c>
      <c r="F80" s="84">
        <f t="shared" si="10"/>
        <v>78.442171673190671</v>
      </c>
    </row>
    <row r="81" spans="1:6" x14ac:dyDescent="0.25">
      <c r="A81">
        <v>97</v>
      </c>
      <c r="B81" s="2">
        <v>50.570829574459083</v>
      </c>
      <c r="C81" s="84">
        <f t="shared" si="9"/>
        <v>0.90736578805986312</v>
      </c>
      <c r="D81" s="1">
        <v>2.0806535430253907</v>
      </c>
      <c r="E81" s="85">
        <f t="shared" si="11"/>
        <v>2.2930703035148161</v>
      </c>
      <c r="F81" s="84">
        <f t="shared" si="10"/>
        <v>80.522825216216063</v>
      </c>
    </row>
    <row r="82" spans="1:6" x14ac:dyDescent="0.25">
      <c r="A82">
        <v>98</v>
      </c>
      <c r="B82" s="2">
        <v>51.478195362518946</v>
      </c>
      <c r="C82" s="84">
        <f t="shared" si="9"/>
        <v>0.91128789739229177</v>
      </c>
      <c r="D82" s="1">
        <v>2.1053752775039052</v>
      </c>
      <c r="E82" s="85">
        <f t="shared" si="11"/>
        <v>2.3103294617744519</v>
      </c>
      <c r="F82" s="84">
        <f t="shared" si="10"/>
        <v>82.628200493719973</v>
      </c>
    </row>
    <row r="83" spans="1:6" x14ac:dyDescent="0.25">
      <c r="A83">
        <v>99</v>
      </c>
      <c r="B83" s="2">
        <v>52.389483259911238</v>
      </c>
      <c r="C83" s="84">
        <f t="shared" si="9"/>
        <v>0.9150638389170993</v>
      </c>
      <c r="D83" s="1">
        <v>2.1297626078126042</v>
      </c>
      <c r="E83" s="85">
        <f t="shared" si="11"/>
        <v>2.327447023076552</v>
      </c>
      <c r="F83" s="84">
        <f t="shared" si="10"/>
        <v>84.757963101532582</v>
      </c>
    </row>
    <row r="84" spans="1:6" x14ac:dyDescent="0.25">
      <c r="A84">
        <v>100</v>
      </c>
      <c r="B84" s="2">
        <v>53.304547098828337</v>
      </c>
      <c r="C84" s="84">
        <f t="shared" si="9"/>
        <v>0.91869441783000383</v>
      </c>
      <c r="D84" s="1">
        <v>2.1538110077520929</v>
      </c>
      <c r="E84" s="85">
        <f t="shared" si="11"/>
        <v>2.344425922211967</v>
      </c>
      <c r="F84" s="84">
        <f t="shared" si="10"/>
        <v>86.911774109284679</v>
      </c>
    </row>
    <row r="85" spans="1:6" x14ac:dyDescent="0.25">
      <c r="A85">
        <v>101</v>
      </c>
      <c r="B85" s="2">
        <v>54.223241516658341</v>
      </c>
      <c r="C85" s="84">
        <f t="shared" si="9"/>
        <v>0.92218049043936645</v>
      </c>
      <c r="D85" s="1">
        <v>2.1775164635764881</v>
      </c>
      <c r="E85" s="85">
        <f t="shared" si="11"/>
        <v>2.3612692809615021</v>
      </c>
      <c r="F85" s="84">
        <f t="shared" si="10"/>
        <v>89.089290572861159</v>
      </c>
    </row>
    <row r="86" spans="1:6" x14ac:dyDescent="0.25">
      <c r="A86">
        <v>102</v>
      </c>
      <c r="B86" s="2">
        <v>55.145422007097707</v>
      </c>
      <c r="C86" s="84">
        <f t="shared" si="9"/>
        <v>0.92552296256313582</v>
      </c>
      <c r="D86" s="1">
        <v>2.2008754628016005</v>
      </c>
      <c r="E86" s="85">
        <f t="shared" si="11"/>
        <v>2.3779803979217475</v>
      </c>
      <c r="F86" s="84">
        <f t="shared" si="10"/>
        <v>91.290166035662764</v>
      </c>
    </row>
    <row r="87" spans="1:6" x14ac:dyDescent="0.25">
      <c r="A87">
        <v>103</v>
      </c>
      <c r="B87" s="2">
        <v>56.070944969660843</v>
      </c>
      <c r="C87" s="84">
        <f t="shared" si="9"/>
        <v>0.92872278792135887</v>
      </c>
      <c r="D87" s="1">
        <v>2.223884982196386</v>
      </c>
      <c r="E87" s="85">
        <f t="shared" si="11"/>
        <v>2.3945627383320942</v>
      </c>
      <c r="F87" s="84">
        <f t="shared" si="10"/>
        <v>93.514051017859146</v>
      </c>
    </row>
    <row r="88" spans="1:6" x14ac:dyDescent="0.25">
      <c r="A88">
        <v>104</v>
      </c>
      <c r="B88" s="2">
        <v>56.999667757582202</v>
      </c>
      <c r="C88" s="84">
        <f t="shared" si="9"/>
        <v>0.93178096652476938</v>
      </c>
      <c r="D88" s="1">
        <v>2.2465424750339666</v>
      </c>
      <c r="E88" s="85">
        <f t="shared" si="11"/>
        <v>2.4110199239342878</v>
      </c>
      <c r="F88" s="84">
        <f t="shared" si="10"/>
        <v>95.760593492893108</v>
      </c>
    </row>
    <row r="89" spans="1:6" x14ac:dyDescent="0.25">
      <c r="A89">
        <v>105</v>
      </c>
      <c r="B89" s="2">
        <v>57.931448724106971</v>
      </c>
      <c r="C89" s="84">
        <f t="shared" si="9"/>
        <v>0.93469854306219702</v>
      </c>
      <c r="D89" s="1">
        <v>2.2688458576780723</v>
      </c>
      <c r="E89" s="85">
        <f t="shared" si="11"/>
        <v>2.4273557228890406</v>
      </c>
      <c r="F89" s="84">
        <f t="shared" si="10"/>
        <v>98.029439350571181</v>
      </c>
    </row>
    <row r="90" spans="1:6" x14ac:dyDescent="0.25">
      <c r="A90">
        <v>106</v>
      </c>
      <c r="B90" s="2">
        <v>58.866147267169168</v>
      </c>
      <c r="C90" s="84">
        <f t="shared" si="9"/>
        <v>0.93747660528817534</v>
      </c>
      <c r="D90" s="1">
        <v>2.2907934955798606</v>
      </c>
      <c r="E90" s="85">
        <f t="shared" si="11"/>
        <v>2.4435740397763661</v>
      </c>
      <c r="F90" s="84">
        <f t="shared" si="10"/>
        <v>100.32023284615104</v>
      </c>
    </row>
    <row r="91" spans="1:6" x14ac:dyDescent="0.25">
      <c r="A91">
        <v>107</v>
      </c>
      <c r="B91" s="2">
        <v>59.803623872457344</v>
      </c>
      <c r="C91" s="84">
        <f t="shared" si="9"/>
        <v>0.94011628241293721</v>
      </c>
      <c r="D91" s="1">
        <v>2.312384188758926</v>
      </c>
      <c r="E91" s="85">
        <f t="shared" si="11"/>
        <v>2.4596789057028938</v>
      </c>
      <c r="F91" s="84">
        <f t="shared" si="10"/>
        <v>102.63261703490997</v>
      </c>
    </row>
    <row r="92" spans="1:6" x14ac:dyDescent="0.25">
      <c r="A92">
        <v>108</v>
      </c>
      <c r="B92" s="2">
        <v>60.743740154870281</v>
      </c>
      <c r="C92" s="84">
        <f t="shared" si="9"/>
        <v>0.94261874349588481</v>
      </c>
      <c r="D92" s="1">
        <v>2.3336171568407291</v>
      </c>
      <c r="E92" s="85">
        <f t="shared" si="11"/>
        <v>2.4756744685407552</v>
      </c>
      <c r="F92" s="84">
        <f t="shared" si="10"/>
        <v>104.9662341917507</v>
      </c>
    </row>
    <row r="93" spans="1:6" x14ac:dyDescent="0.25">
      <c r="A93">
        <v>109</v>
      </c>
      <c r="B93" s="2">
        <v>61.686358898366166</v>
      </c>
      <c r="C93" s="84">
        <f t="shared" si="9"/>
        <v>0.94498519584487184</v>
      </c>
      <c r="D93" s="1">
        <v>2.3544920237208773</v>
      </c>
      <c r="E93" s="85">
        <f t="shared" si="11"/>
        <v>2.4915649833178861</v>
      </c>
      <c r="F93" s="84">
        <f t="shared" si="10"/>
        <v>107.32072621547158</v>
      </c>
    </row>
    <row r="94" spans="1:6" x14ac:dyDescent="0.25">
      <c r="A94">
        <v>110</v>
      </c>
      <c r="B94" s="2">
        <v>62.631344094211038</v>
      </c>
      <c r="C94" s="84">
        <f t="shared" si="9"/>
        <v>0.94721688342244903</v>
      </c>
      <c r="D94" s="1">
        <v>2.3750088019245941</v>
      </c>
      <c r="E94" s="85">
        <f t="shared" si="11"/>
        <v>2.5073548027810695</v>
      </c>
      <c r="F94" s="84">
        <f t="shared" si="10"/>
        <v>109.69573501739617</v>
      </c>
    </row>
    <row r="95" spans="1:6" x14ac:dyDescent="0.25">
      <c r="A95">
        <v>111</v>
      </c>
      <c r="B95" s="2">
        <v>63.578560977633487</v>
      </c>
      <c r="C95" s="84">
        <f t="shared" si="9"/>
        <v>0.94931508526099151</v>
      </c>
      <c r="D95" s="1">
        <v>2.3951678767273723</v>
      </c>
      <c r="E95" s="85">
        <f t="shared" si="11"/>
        <v>2.52304836814942</v>
      </c>
      <c r="F95" s="84">
        <f t="shared" si="10"/>
        <v>112.09090289412354</v>
      </c>
    </row>
    <row r="96" spans="1:6" x14ac:dyDescent="0.25">
      <c r="A96">
        <v>112</v>
      </c>
      <c r="B96" s="2">
        <v>64.527876062894478</v>
      </c>
      <c r="C96" s="84">
        <f t="shared" si="9"/>
        <v>0.95128111388766001</v>
      </c>
      <c r="D96" s="1">
        <v>2.4149699901002748</v>
      </c>
      <c r="E96" s="85">
        <f t="shared" si="11"/>
        <v>2.5386502000768898</v>
      </c>
      <c r="F96" s="84">
        <f t="shared" si="10"/>
        <v>114.50587288422382</v>
      </c>
    </row>
    <row r="97" spans="1:6" x14ac:dyDescent="0.25">
      <c r="A97">
        <v>113</v>
      </c>
      <c r="B97" s="2">
        <v>65.479157176782138</v>
      </c>
      <c r="C97" s="84">
        <f t="shared" si="9"/>
        <v>0.95311631376156924</v>
      </c>
      <c r="D97" s="1">
        <v>2.4344162245406178</v>
      </c>
      <c r="E97" s="85">
        <f t="shared" si="11"/>
        <v>2.5541648898369496</v>
      </c>
      <c r="F97" s="84">
        <f t="shared" si="10"/>
        <v>116.94028910876443</v>
      </c>
    </row>
    <row r="98" spans="1:6" x14ac:dyDescent="0.25">
      <c r="A98">
        <v>114</v>
      </c>
      <c r="B98" s="2">
        <v>66.432273490543707</v>
      </c>
      <c r="C98" s="84">
        <f t="shared" si="9"/>
        <v>0.95482205972336942</v>
      </c>
      <c r="D98" s="1">
        <v>2.4535079868459162</v>
      </c>
      <c r="E98" s="85">
        <f t="shared" si="11"/>
        <v>2.5695970907466732</v>
      </c>
      <c r="F98" s="84">
        <f t="shared" si="10"/>
        <v>119.39379709561035</v>
      </c>
    </row>
    <row r="99" spans="1:6" x14ac:dyDescent="0.25">
      <c r="A99">
        <v>115</v>
      </c>
      <c r="B99" s="2">
        <v>67.387095550267077</v>
      </c>
      <c r="C99" s="84">
        <f t="shared" si="9"/>
        <v>0.95639975545985578</v>
      </c>
      <c r="D99" s="1">
        <v>2.4722469918859575</v>
      </c>
      <c r="E99" s="85">
        <f t="shared" si="11"/>
        <v>2.5849515098393692</v>
      </c>
      <c r="F99" s="84">
        <f t="shared" si="10"/>
        <v>121.86604408749631</v>
      </c>
    </row>
    <row r="100" spans="1:6" x14ac:dyDescent="0.25">
      <c r="A100">
        <v>116</v>
      </c>
      <c r="B100" s="2">
        <v>68.343495305726933</v>
      </c>
      <c r="C100" s="84">
        <f t="shared" si="9"/>
        <v>0.95785083198346399</v>
      </c>
      <c r="D100" s="1">
        <v>2.4906352464247883</v>
      </c>
      <c r="E100" s="85">
        <f t="shared" si="11"/>
        <v>2.6002328998006088</v>
      </c>
      <c r="F100" s="84">
        <f t="shared" si="10"/>
        <v>124.35667933392109</v>
      </c>
    </row>
    <row r="101" spans="1:6" x14ac:dyDescent="0.25">
      <c r="A101">
        <v>117</v>
      </c>
      <c r="B101" s="2">
        <v>69.301346137710397</v>
      </c>
      <c r="C101" s="84">
        <f t="shared" si="9"/>
        <v>0.9591767461294296</v>
      </c>
      <c r="D101" s="1">
        <v>2.5086750330412286</v>
      </c>
      <c r="E101" s="85">
        <f t="shared" si="11"/>
        <v>2.6154460511730466</v>
      </c>
      <c r="F101" s="84">
        <f t="shared" si="10"/>
        <v>126.86535436696232</v>
      </c>
    </row>
    <row r="102" spans="1:6" x14ac:dyDescent="0.25">
      <c r="A102">
        <v>118</v>
      </c>
      <c r="B102" s="2">
        <v>70.260522883839826</v>
      </c>
      <c r="C102" s="84">
        <f t="shared" si="9"/>
        <v>0.9603789790704127</v>
      </c>
      <c r="D102" s="1">
        <v>2.5263688941933191</v>
      </c>
      <c r="E102" s="85">
        <f t="shared" si="11"/>
        <v>2.6305957848418209</v>
      </c>
      <c r="F102" s="84">
        <f t="shared" si="10"/>
        <v>129.39172326115565</v>
      </c>
    </row>
    <row r="103" spans="1:6" x14ac:dyDescent="0.25">
      <c r="A103">
        <v>119</v>
      </c>
      <c r="B103" s="2">
        <v>71.220901862910239</v>
      </c>
      <c r="C103" s="84">
        <f t="shared" si="9"/>
        <v>0.96145903485042084</v>
      </c>
      <c r="D103" s="1">
        <v>2.5437196164688656</v>
      </c>
      <c r="E103" s="85">
        <f t="shared" si="11"/>
        <v>2.6456869448053033</v>
      </c>
      <c r="F103" s="84">
        <f t="shared" si="10"/>
        <v>131.93544287762452</v>
      </c>
    </row>
    <row r="104" spans="1:6" x14ac:dyDescent="0.25">
      <c r="A104">
        <v>120</v>
      </c>
      <c r="B104" s="2">
        <v>72.18236089776066</v>
      </c>
      <c r="C104" s="84">
        <f t="shared" si="9"/>
        <v>0.96241843893868406</v>
      </c>
      <c r="D104" s="1">
        <v>2.5607302150610085</v>
      </c>
      <c r="E104" s="85">
        <f t="shared" si="11"/>
        <v>2.6607243912376384</v>
      </c>
      <c r="F104" s="84">
        <f t="shared" si="10"/>
        <v>134.49617309268552</v>
      </c>
    </row>
    <row r="105" spans="1:6" x14ac:dyDescent="0.25">
      <c r="A105">
        <v>121</v>
      </c>
      <c r="B105" s="2">
        <v>73.144779336699344</v>
      </c>
      <c r="C105" s="84">
        <f t="shared" si="9"/>
        <v>0.96325873680507357</v>
      </c>
      <c r="D105" s="1">
        <v>2.5774039185044937</v>
      </c>
      <c r="E105" s="85">
        <f t="shared" si="11"/>
        <v>2.6757129938454542</v>
      </c>
      <c r="F105" s="84">
        <f t="shared" si="10"/>
        <v>137.07357701119003</v>
      </c>
    </row>
    <row r="106" spans="1:6" x14ac:dyDescent="0.25">
      <c r="A106">
        <v>122</v>
      </c>
      <c r="B106" s="2">
        <v>74.108038073504417</v>
      </c>
      <c r="C106" s="84">
        <f t="shared" si="9"/>
        <v>0.96398149251699294</v>
      </c>
      <c r="D106" s="1">
        <v>2.5937441537051837</v>
      </c>
      <c r="E106" s="85">
        <f t="shared" si="11"/>
        <v>2.6906576255243424</v>
      </c>
      <c r="F106" s="84">
        <f t="shared" si="10"/>
        <v>139.66732116489521</v>
      </c>
    </row>
    <row r="107" spans="1:6" x14ac:dyDescent="0.25">
      <c r="A107">
        <v>123</v>
      </c>
      <c r="B107" s="2">
        <v>75.07201956602141</v>
      </c>
      <c r="C107" s="84">
        <f t="shared" si="9"/>
        <v>0.9645882873595184</v>
      </c>
      <c r="D107" s="1">
        <v>2.6097545312921309</v>
      </c>
      <c r="E107" s="85">
        <f t="shared" si="11"/>
        <v>2.705563156314204</v>
      </c>
      <c r="F107" s="84">
        <f t="shared" si="10"/>
        <v>142.27707569618735</v>
      </c>
    </row>
    <row r="108" spans="1:6" x14ac:dyDescent="0.25">
      <c r="A108">
        <v>124</v>
      </c>
      <c r="B108" s="2">
        <v>76.036607853380929</v>
      </c>
      <c r="C108" s="84">
        <f t="shared" si="9"/>
        <v>0.9650807184789727</v>
      </c>
      <c r="D108" s="1">
        <v>2.6254388313185109</v>
      </c>
      <c r="E108" s="85">
        <f t="shared" si="11"/>
        <v>2.7204344476557005</v>
      </c>
      <c r="F108" s="84">
        <f t="shared" si="10"/>
        <v>144.90251452750587</v>
      </c>
    </row>
    <row r="109" spans="1:6" x14ac:dyDescent="0.25">
      <c r="A109">
        <v>125</v>
      </c>
      <c r="B109" s="2">
        <v>77.001688571859901</v>
      </c>
      <c r="C109" s="84">
        <f t="shared" ref="C109:C172" si="12">B110-B109</f>
        <v>0.96546039755109803</v>
      </c>
      <c r="D109" s="1">
        <v>2.6408009893347169</v>
      </c>
      <c r="E109" s="85">
        <f t="shared" si="11"/>
        <v>2.7352763469461205</v>
      </c>
      <c r="F109" s="84">
        <f t="shared" si="10"/>
        <v>147.54331551684058</v>
      </c>
    </row>
    <row r="110" spans="1:6" x14ac:dyDescent="0.25">
      <c r="A110">
        <v>126</v>
      </c>
      <c r="B110" s="2">
        <v>77.967148969410999</v>
      </c>
      <c r="C110" s="84">
        <f t="shared" si="12"/>
        <v>0.96572894947391319</v>
      </c>
      <c r="D110" s="1">
        <v>2.6558450828539613</v>
      </c>
      <c r="E110" s="85">
        <f t="shared" si="11"/>
        <v>2.7500936823947852</v>
      </c>
      <c r="F110" s="84">
        <f t="shared" si="10"/>
        <v>150.19916059969455</v>
      </c>
    </row>
    <row r="111" spans="1:6" x14ac:dyDescent="0.25">
      <c r="A111">
        <v>127</v>
      </c>
      <c r="B111" s="2">
        <v>78.932877918884913</v>
      </c>
      <c r="C111" s="84">
        <f t="shared" si="12"/>
        <v>0.96588801108691769</v>
      </c>
      <c r="D111" s="1">
        <v>2.6705753182279626</v>
      </c>
      <c r="E111" s="85">
        <f t="shared" si="11"/>
        <v>2.7648912581726255</v>
      </c>
      <c r="F111" s="84">
        <f t="shared" si="10"/>
        <v>152.86973591792253</v>
      </c>
    </row>
    <row r="112" spans="1:6" x14ac:dyDescent="0.25">
      <c r="A112">
        <v>128</v>
      </c>
      <c r="B112" s="2">
        <v>79.89876592997183</v>
      </c>
      <c r="C112" s="84">
        <f t="shared" si="12"/>
        <v>0.96593922991567638</v>
      </c>
      <c r="D112" s="1">
        <v>2.6849960179476078</v>
      </c>
      <c r="E112" s="85">
        <f t="shared" si="11"/>
        <v>2.7796738498569935</v>
      </c>
      <c r="F112" s="84">
        <f t="shared" si="10"/>
        <v>155.55473193587014</v>
      </c>
    </row>
    <row r="113" spans="1:6" x14ac:dyDescent="0.25">
      <c r="A113">
        <v>129</v>
      </c>
      <c r="B113" s="2">
        <v>80.864705159887507</v>
      </c>
      <c r="C113" s="84">
        <f t="shared" si="12"/>
        <v>0.96588426294388796</v>
      </c>
      <c r="D113" s="1">
        <v>2.6991116083808495</v>
      </c>
      <c r="E113" s="85">
        <f t="shared" si="11"/>
        <v>2.7944462001630641</v>
      </c>
      <c r="F113" s="84">
        <f t="shared" si="10"/>
        <v>158.253843544251</v>
      </c>
    </row>
    <row r="114" spans="1:6" x14ac:dyDescent="0.25">
      <c r="A114">
        <v>130</v>
      </c>
      <c r="B114" s="2">
        <v>81.830589422831395</v>
      </c>
      <c r="C114" s="84">
        <f t="shared" si="12"/>
        <v>0.96572477541231194</v>
      </c>
      <c r="D114" s="1">
        <v>2.7129266079576846</v>
      </c>
      <c r="E114" s="85">
        <f t="shared" si="11"/>
        <v>2.8092130149600982</v>
      </c>
      <c r="F114" s="84">
        <f t="shared" si="10"/>
        <v>160.96677015220868</v>
      </c>
    </row>
    <row r="115" spans="1:6" x14ac:dyDescent="0.25">
      <c r="A115">
        <v>131</v>
      </c>
      <c r="B115" s="2">
        <v>82.796314198243707</v>
      </c>
      <c r="C115" s="84">
        <f t="shared" si="12"/>
        <v>0.96546243964530731</v>
      </c>
      <c r="D115" s="1">
        <v>2.7264456158097241</v>
      </c>
      <c r="E115" s="85">
        <f t="shared" si="11"/>
        <v>2.8239789595661211</v>
      </c>
      <c r="F115" s="84">
        <f t="shared" si="10"/>
        <v>163.6932157680184</v>
      </c>
    </row>
    <row r="116" spans="1:6" x14ac:dyDescent="0.25">
      <c r="A116">
        <v>132</v>
      </c>
      <c r="B116" s="2">
        <v>83.761776637889014</v>
      </c>
      <c r="C116" s="84">
        <f t="shared" si="12"/>
        <v>0.96509893390536661</v>
      </c>
      <c r="D116" s="1">
        <v>2.7396733008696259</v>
      </c>
      <c r="E116" s="85">
        <f t="shared" si="11"/>
        <v>2.83874865531482</v>
      </c>
      <c r="F116" s="84">
        <f t="shared" si="10"/>
        <v>166.43288906888802</v>
      </c>
    </row>
    <row r="117" spans="1:6" x14ac:dyDescent="0.25">
      <c r="A117">
        <v>133</v>
      </c>
      <c r="B117" s="2">
        <v>84.72687557179438</v>
      </c>
      <c r="C117" s="84">
        <f t="shared" si="12"/>
        <v>0.96463594127602903</v>
      </c>
      <c r="D117" s="1">
        <v>2.7526143914336654</v>
      </c>
      <c r="E117" s="85">
        <f t="shared" si="11"/>
        <v>2.8535266763878635</v>
      </c>
      <c r="F117" s="84">
        <f t="shared" si="10"/>
        <v>169.18550346032168</v>
      </c>
    </row>
    <row r="118" spans="1:6" x14ac:dyDescent="0.25">
      <c r="A118">
        <v>134</v>
      </c>
      <c r="B118" s="2">
        <v>85.691511513070409</v>
      </c>
      <c r="C118" s="84">
        <f t="shared" si="12"/>
        <v>0.9640751485730874</v>
      </c>
      <c r="D118" s="1">
        <v>2.7652736651887135</v>
      </c>
      <c r="E118" s="85">
        <f t="shared" si="11"/>
        <v>2.8683175469065372</v>
      </c>
      <c r="F118" s="84">
        <f t="shared" si="10"/>
        <v>171.9507771255104</v>
      </c>
    </row>
    <row r="119" spans="1:6" x14ac:dyDescent="0.25">
      <c r="A119">
        <v>135</v>
      </c>
      <c r="B119" s="2">
        <v>86.655586661643497</v>
      </c>
      <c r="C119" s="84">
        <f t="shared" si="12"/>
        <v>0.96341824528457209</v>
      </c>
      <c r="D119" s="1">
        <v>2.7776559397031382</v>
      </c>
      <c r="E119" s="85">
        <f t="shared" si="11"/>
        <v>2.8831257382744302</v>
      </c>
      <c r="F119" s="84">
        <f t="shared" si="10"/>
        <v>174.72843306521355</v>
      </c>
    </row>
    <row r="120" spans="1:6" x14ac:dyDescent="0.25">
      <c r="A120">
        <v>136</v>
      </c>
      <c r="B120" s="2">
        <v>87.619004906928069</v>
      </c>
      <c r="C120" s="84">
        <f t="shared" si="12"/>
        <v>0.96266692253976771</v>
      </c>
      <c r="D120" s="1">
        <v>2.7897660633794832</v>
      </c>
      <c r="E120" s="85">
        <f t="shared" si="11"/>
        <v>2.8979556667630679</v>
      </c>
      <c r="F120" s="84">
        <f t="shared" si="10"/>
        <v>177.51819912859304</v>
      </c>
    </row>
    <row r="121" spans="1:6" x14ac:dyDescent="0.25">
      <c r="A121">
        <v>137</v>
      </c>
      <c r="B121" s="2">
        <v>88.581671829467837</v>
      </c>
      <c r="C121" s="84">
        <f t="shared" si="12"/>
        <v>0.96182287210703521</v>
      </c>
      <c r="D121" s="1">
        <v>2.8016089068652255</v>
      </c>
      <c r="E121" s="85">
        <f t="shared" si="11"/>
        <v>2.912811691333383</v>
      </c>
      <c r="F121" s="84">
        <f t="shared" si="10"/>
        <v>180.31980803545827</v>
      </c>
    </row>
    <row r="122" spans="1:6" x14ac:dyDescent="0.25">
      <c r="A122">
        <v>138</v>
      </c>
      <c r="B122" s="2">
        <v>89.543494701574872</v>
      </c>
      <c r="C122" s="84">
        <f t="shared" si="12"/>
        <v>0.96088778542060993</v>
      </c>
      <c r="D122" s="1">
        <v>2.8131893549165219</v>
      </c>
      <c r="E122" s="85">
        <f t="shared" si="11"/>
        <v>2.9276981116843972</v>
      </c>
      <c r="F122" s="84">
        <f t="shared" si="10"/>
        <v>183.13299739037478</v>
      </c>
    </row>
    <row r="123" spans="1:6" x14ac:dyDescent="0.25">
      <c r="A123">
        <v>139</v>
      </c>
      <c r="B123" s="2">
        <v>90.504382486995482</v>
      </c>
      <c r="C123" s="84">
        <f t="shared" si="12"/>
        <v>0.9598633526368161</v>
      </c>
      <c r="D123" s="1">
        <v>2.8245122987085898</v>
      </c>
      <c r="E123" s="85">
        <f t="shared" si="11"/>
        <v>2.942619166519322</v>
      </c>
      <c r="F123" s="84">
        <f t="shared" si="10"/>
        <v>185.95750968908337</v>
      </c>
    </row>
    <row r="124" spans="1:6" x14ac:dyDescent="0.25">
      <c r="A124">
        <v>140</v>
      </c>
      <c r="B124" s="2">
        <v>91.464245839632298</v>
      </c>
      <c r="C124" s="84">
        <f t="shared" si="12"/>
        <v>0.95875126171910097</v>
      </c>
      <c r="D124" s="1">
        <v>2.8355826285852119</v>
      </c>
      <c r="E124" s="85">
        <f t="shared" si="11"/>
        <v>2.9575790320221689</v>
      </c>
      <c r="F124" s="84">
        <f t="shared" si="10"/>
        <v>188.79309231766857</v>
      </c>
    </row>
    <row r="125" spans="1:6" x14ac:dyDescent="0.25">
      <c r="A125">
        <v>141</v>
      </c>
      <c r="B125" s="2">
        <v>92.422997101351399</v>
      </c>
      <c r="C125" s="84">
        <f t="shared" si="12"/>
        <v>0.95755319755218693</v>
      </c>
      <c r="D125" s="1">
        <v>2.8464052272388294</v>
      </c>
      <c r="E125" s="85">
        <f t="shared" si="11"/>
        <v>2.9725818205350407</v>
      </c>
      <c r="F125" s="84">
        <f t="shared" si="10"/>
        <v>191.63949754490739</v>
      </c>
    </row>
    <row r="126" spans="1:6" x14ac:dyDescent="0.25">
      <c r="A126">
        <v>142</v>
      </c>
      <c r="B126" s="2">
        <v>93.380550298903586</v>
      </c>
      <c r="C126" s="84">
        <f t="shared" si="12"/>
        <v>0.95627084108507177</v>
      </c>
      <c r="D126" s="1">
        <v>2.856984963311767</v>
      </c>
      <c r="E126" s="85">
        <f t="shared" si="11"/>
        <v>2.9876315794278243</v>
      </c>
      <c r="F126" s="84">
        <f t="shared" si="10"/>
        <v>194.49648250821915</v>
      </c>
    </row>
    <row r="127" spans="1:6" x14ac:dyDescent="0.25">
      <c r="A127">
        <v>143</v>
      </c>
      <c r="B127" s="2">
        <v>94.336821139988658</v>
      </c>
      <c r="C127" s="84">
        <f t="shared" si="12"/>
        <v>0.9549058685032179</v>
      </c>
      <c r="D127" s="1">
        <v>2.8673266854083379</v>
      </c>
      <c r="E127" s="85">
        <f t="shared" si="11"/>
        <v>3.0027322901499955</v>
      </c>
      <c r="F127" s="84">
        <f t="shared" si="10"/>
        <v>197.36380919362747</v>
      </c>
    </row>
    <row r="128" spans="1:6" x14ac:dyDescent="0.25">
      <c r="A128">
        <v>144</v>
      </c>
      <c r="B128" s="2">
        <v>95.291727008491875</v>
      </c>
      <c r="C128" s="84">
        <f t="shared" si="12"/>
        <v>0.95345995042893605</v>
      </c>
      <c r="D128" s="1">
        <v>2.8774352165069002</v>
      </c>
      <c r="E128" s="85">
        <f t="shared" si="11"/>
        <v>3.0178878674583229</v>
      </c>
      <c r="F128" s="84">
        <f t="shared" si="10"/>
        <v>200.24124441013439</v>
      </c>
    </row>
    <row r="129" spans="1:6" x14ac:dyDescent="0.25">
      <c r="A129">
        <v>145</v>
      </c>
      <c r="B129" s="2">
        <v>96.245186958920812</v>
      </c>
      <c r="C129" s="84">
        <f t="shared" si="12"/>
        <v>0.9519347511506453</v>
      </c>
      <c r="D129" s="1">
        <v>2.8873153487602883</v>
      </c>
      <c r="E129" s="85">
        <f t="shared" si="11"/>
        <v>3.0331021588089557</v>
      </c>
      <c r="F129" s="84">
        <f t="shared" si="10"/>
        <v>203.12855975889468</v>
      </c>
    </row>
    <row r="130" spans="1:6" x14ac:dyDescent="0.25">
      <c r="A130">
        <v>146</v>
      </c>
      <c r="B130" s="2">
        <v>97.197121710071457</v>
      </c>
      <c r="C130" s="84">
        <f t="shared" si="12"/>
        <v>0.95033192788029908</v>
      </c>
      <c r="D130" s="1">
        <v>2.8969718386726182</v>
      </c>
      <c r="E130" s="85">
        <f t="shared" si="11"/>
        <v>3.0483789439067568</v>
      </c>
      <c r="F130" s="84">
        <f t="shared" si="10"/>
        <v>206.02553159756729</v>
      </c>
    </row>
    <row r="131" spans="1:6" x14ac:dyDescent="0.25">
      <c r="A131">
        <v>147</v>
      </c>
      <c r="B131" s="2">
        <v>98.147453637951756</v>
      </c>
      <c r="C131" s="84">
        <f t="shared" si="12"/>
        <v>0.94865313003913343</v>
      </c>
      <c r="D131" s="1">
        <v>2.9064094026399827</v>
      </c>
      <c r="E131" s="85">
        <f t="shared" si="11"/>
        <v>3.0637219344019755</v>
      </c>
      <c r="F131" s="84">
        <f t="shared" si="10"/>
        <v>208.93194100020727</v>
      </c>
    </row>
    <row r="132" spans="1:6" x14ac:dyDescent="0.25">
      <c r="A132">
        <v>148</v>
      </c>
      <c r="B132" s="2">
        <v>99.096106767990889</v>
      </c>
      <c r="C132" s="84">
        <f t="shared" si="12"/>
        <v>0.94689999857051532</v>
      </c>
      <c r="D132" s="1">
        <v>2.9156327128423007</v>
      </c>
      <c r="E132" s="85">
        <f t="shared" si="11"/>
        <v>3.0791347737288803</v>
      </c>
      <c r="F132" s="84">
        <f t="shared" ref="F132:F183" si="13">F131+D132</f>
        <v>211.84757371304957</v>
      </c>
    </row>
    <row r="133" spans="1:6" x14ac:dyDescent="0.25">
      <c r="A133">
        <v>149</v>
      </c>
      <c r="B133" s="2">
        <v>100.0430067665614</v>
      </c>
      <c r="C133" s="84">
        <f t="shared" si="12"/>
        <v>0.9450741652812269</v>
      </c>
      <c r="D133" s="1">
        <v>2.9246463934732643</v>
      </c>
      <c r="E133" s="85">
        <f t="shared" si="11"/>
        <v>3.0946210370727609</v>
      </c>
      <c r="F133" s="84">
        <f t="shared" si="13"/>
        <v>214.77222010652284</v>
      </c>
    </row>
    <row r="134" spans="1:6" x14ac:dyDescent="0.25">
      <c r="A134">
        <v>150</v>
      </c>
      <c r="B134" s="2">
        <v>100.98808093184263</v>
      </c>
      <c r="C134" s="84">
        <f t="shared" si="12"/>
        <v>0.94317725220936666</v>
      </c>
      <c r="D134" s="1">
        <v>2.933455017295227</v>
      </c>
      <c r="E134" s="85">
        <f t="shared" si="11"/>
        <v>3.110184231461997</v>
      </c>
      <c r="F134" s="84">
        <f t="shared" si="13"/>
        <v>217.70567512381805</v>
      </c>
    </row>
    <row r="135" spans="1:6" x14ac:dyDescent="0.25">
      <c r="A135">
        <v>151</v>
      </c>
      <c r="B135" s="2">
        <v>101.931258184052</v>
      </c>
      <c r="C135" s="84">
        <f t="shared" si="12"/>
        <v>0.94121087101905232</v>
      </c>
      <c r="D135" s="1">
        <v>2.9420631025057329</v>
      </c>
      <c r="E135" s="85">
        <f t="shared" si="11"/>
        <v>3.1258277959755723</v>
      </c>
      <c r="F135" s="84">
        <f t="shared" si="13"/>
        <v>220.64773822632378</v>
      </c>
    </row>
    <row r="136" spans="1:6" x14ac:dyDescent="0.25">
      <c r="A136">
        <v>152</v>
      </c>
      <c r="B136" s="2">
        <v>102.87246905507105</v>
      </c>
      <c r="C136" s="84">
        <f t="shared" si="12"/>
        <v>0.93917662242220956</v>
      </c>
      <c r="D136" s="1">
        <v>2.9504751099023467</v>
      </c>
      <c r="E136" s="85">
        <f t="shared" si="11"/>
        <v>3.1415551020561412</v>
      </c>
      <c r="F136" s="84">
        <f t="shared" si="13"/>
        <v>223.59821333622614</v>
      </c>
    </row>
    <row r="137" spans="1:6" x14ac:dyDescent="0.25">
      <c r="A137">
        <v>153</v>
      </c>
      <c r="B137" s="2">
        <v>103.81164567749326</v>
      </c>
      <c r="C137" s="84">
        <f t="shared" si="12"/>
        <v>0.93707609562579819</v>
      </c>
      <c r="D137" s="1">
        <v>2.9586954403324857</v>
      </c>
      <c r="E137" s="85">
        <f t="shared" si="11"/>
        <v>3.1573694539253077</v>
      </c>
      <c r="F137" s="84">
        <f t="shared" si="13"/>
        <v>226.55690877655863</v>
      </c>
    </row>
    <row r="138" spans="1:6" x14ac:dyDescent="0.25">
      <c r="A138">
        <v>154</v>
      </c>
      <c r="B138" s="2">
        <v>104.74872177311906</v>
      </c>
      <c r="C138" s="84">
        <f t="shared" si="12"/>
        <v>0.93491086780528576</v>
      </c>
      <c r="D138" s="1">
        <v>2.9667284324150121</v>
      </c>
      <c r="E138" s="85">
        <f t="shared" ref="E138:E183" si="14">D138/C138</f>
        <v>3.1732740890898423</v>
      </c>
      <c r="F138" s="84">
        <f t="shared" si="13"/>
        <v>229.52363720897364</v>
      </c>
    </row>
    <row r="139" spans="1:6" x14ac:dyDescent="0.25">
      <c r="A139">
        <v>155</v>
      </c>
      <c r="B139" s="2">
        <v>105.68363264092434</v>
      </c>
      <c r="C139" s="84">
        <f t="shared" si="12"/>
        <v>0.9326825036031039</v>
      </c>
      <c r="D139" s="1">
        <v>2.9745783605204448</v>
      </c>
      <c r="E139" s="85">
        <f t="shared" si="14"/>
        <v>3.1892721789345955</v>
      </c>
      <c r="F139" s="84">
        <f t="shared" si="13"/>
        <v>232.49821556949408</v>
      </c>
    </row>
    <row r="140" spans="1:6" x14ac:dyDescent="0.25">
      <c r="A140">
        <v>156</v>
      </c>
      <c r="B140" s="2">
        <v>106.61631514452745</v>
      </c>
      <c r="C140" s="84">
        <f t="shared" si="12"/>
        <v>0.93039255465244253</v>
      </c>
      <c r="D140" s="1">
        <v>2.9822494329968512</v>
      </c>
      <c r="E140" s="85">
        <f t="shared" si="14"/>
        <v>3.2053668293926756</v>
      </c>
      <c r="F140" s="84">
        <f t="shared" si="13"/>
        <v>235.48046500249092</v>
      </c>
    </row>
    <row r="141" spans="1:6" x14ac:dyDescent="0.25">
      <c r="A141">
        <v>157</v>
      </c>
      <c r="B141" s="2">
        <v>107.54670769917989</v>
      </c>
      <c r="C141" s="84">
        <f t="shared" si="12"/>
        <v>0.92804255912510314</v>
      </c>
      <c r="D141" s="1">
        <v>2.9897457906286382</v>
      </c>
      <c r="E141" s="85">
        <f t="shared" si="14"/>
        <v>3.2215610816891544</v>
      </c>
      <c r="F141" s="84">
        <f t="shared" si="13"/>
        <v>238.47021079311955</v>
      </c>
    </row>
    <row r="142" spans="1:6" x14ac:dyDescent="0.25">
      <c r="A142">
        <v>158</v>
      </c>
      <c r="B142" s="2">
        <v>108.47475025830499</v>
      </c>
      <c r="C142" s="84">
        <f t="shared" si="12"/>
        <v>0.92563404130339677</v>
      </c>
      <c r="D142" s="1">
        <v>2.99707150531572</v>
      </c>
      <c r="E142" s="85">
        <f t="shared" si="14"/>
        <v>3.2378579131505432</v>
      </c>
      <c r="F142" s="84">
        <f t="shared" si="13"/>
        <v>241.46728229843526</v>
      </c>
    </row>
    <row r="143" spans="1:6" x14ac:dyDescent="0.25">
      <c r="A143">
        <v>159</v>
      </c>
      <c r="B143" s="2">
        <v>109.40038429960839</v>
      </c>
      <c r="C143" s="84">
        <f t="shared" si="12"/>
        <v>0.92316851117598731</v>
      </c>
      <c r="D143" s="1">
        <v>3.0042305789608075</v>
      </c>
      <c r="E143" s="85">
        <f t="shared" si="14"/>
        <v>3.2542602380727206</v>
      </c>
      <c r="F143" s="84">
        <f t="shared" si="13"/>
        <v>244.47151287739607</v>
      </c>
    </row>
    <row r="144" spans="1:6" x14ac:dyDescent="0.25">
      <c r="A144">
        <v>160</v>
      </c>
      <c r="B144" s="2">
        <v>110.32355281078438</v>
      </c>
      <c r="C144" s="84">
        <f t="shared" si="12"/>
        <v>0.92064746405662845</v>
      </c>
      <c r="D144" s="1">
        <v>3.0112269425528093</v>
      </c>
      <c r="E144" s="85">
        <f t="shared" si="14"/>
        <v>3.2707709086434749</v>
      </c>
      <c r="F144" s="84">
        <f t="shared" si="13"/>
        <v>247.48273981994888</v>
      </c>
    </row>
    <row r="145" spans="1:6" x14ac:dyDescent="0.25">
      <c r="A145">
        <v>161</v>
      </c>
      <c r="B145" s="2">
        <v>111.24420027484101</v>
      </c>
      <c r="C145" s="84">
        <f t="shared" si="12"/>
        <v>0.9180723802249986</v>
      </c>
      <c r="D145" s="1">
        <v>3.0180644554347249</v>
      </c>
      <c r="E145" s="85">
        <f t="shared" si="14"/>
        <v>3.2873927159153467</v>
      </c>
      <c r="F145" s="84">
        <f t="shared" si="13"/>
        <v>250.50080427538359</v>
      </c>
    </row>
    <row r="146" spans="1:6" x14ac:dyDescent="0.25">
      <c r="A146">
        <v>162</v>
      </c>
      <c r="B146" s="2">
        <v>112.162272655066</v>
      </c>
      <c r="C146" s="84">
        <f t="shared" si="12"/>
        <v>0.91544472459085569</v>
      </c>
      <c r="D146" s="1">
        <v>3.0247469047446622</v>
      </c>
      <c r="E146" s="85">
        <f t="shared" si="14"/>
        <v>3.3041283908174002</v>
      </c>
      <c r="F146" s="84">
        <f t="shared" si="13"/>
        <v>253.52555118012825</v>
      </c>
    </row>
    <row r="147" spans="1:6" x14ac:dyDescent="0.25">
      <c r="A147">
        <v>163</v>
      </c>
      <c r="B147" s="2">
        <v>113.07771737965686</v>
      </c>
      <c r="C147" s="84">
        <f t="shared" si="12"/>
        <v>0.9127659463783715</v>
      </c>
      <c r="D147" s="1">
        <v>3.0312780050190073</v>
      </c>
      <c r="E147" s="85">
        <f t="shared" si="14"/>
        <v>3.3209806052103121</v>
      </c>
      <c r="F147" s="84">
        <f t="shared" si="13"/>
        <v>256.55682918514725</v>
      </c>
    </row>
    <row r="148" spans="1:6" x14ac:dyDescent="0.25">
      <c r="A148">
        <v>164</v>
      </c>
      <c r="B148" s="2">
        <v>113.99048332603523</v>
      </c>
      <c r="C148" s="84">
        <f t="shared" si="12"/>
        <v>0.91003747883284802</v>
      </c>
      <c r="D148" s="1">
        <v>3.0376613979471134</v>
      </c>
      <c r="E148" s="85">
        <f t="shared" si="14"/>
        <v>3.3379519729703997</v>
      </c>
      <c r="F148" s="84">
        <f t="shared" si="13"/>
        <v>259.59449058309434</v>
      </c>
    </row>
    <row r="149" spans="1:6" x14ac:dyDescent="0.25">
      <c r="A149">
        <v>165</v>
      </c>
      <c r="B149" s="2">
        <v>114.90052080486808</v>
      </c>
      <c r="C149" s="84">
        <f t="shared" si="12"/>
        <v>0.90726073894731485</v>
      </c>
      <c r="D149" s="1">
        <v>3.0439006522672551</v>
      </c>
      <c r="E149" s="85">
        <f t="shared" si="14"/>
        <v>3.3550450511052219</v>
      </c>
      <c r="F149" s="84">
        <f t="shared" si="13"/>
        <v>262.63839123536161</v>
      </c>
    </row>
    <row r="150" spans="1:6" x14ac:dyDescent="0.25">
      <c r="A150">
        <v>166</v>
      </c>
      <c r="B150" s="2">
        <v>115.80778154381539</v>
      </c>
      <c r="C150" s="84">
        <f t="shared" si="12"/>
        <v>0.90443712720944802</v>
      </c>
      <c r="D150" s="1">
        <v>3.0499992637939668</v>
      </c>
      <c r="E150" s="85">
        <f t="shared" si="14"/>
        <v>3.3722623408931036</v>
      </c>
      <c r="F150" s="84">
        <f t="shared" si="13"/>
        <v>265.68839049915556</v>
      </c>
    </row>
    <row r="151" spans="1:6" x14ac:dyDescent="0.25">
      <c r="A151">
        <v>167</v>
      </c>
      <c r="B151" s="2">
        <v>116.71221867102484</v>
      </c>
      <c r="C151" s="84">
        <f t="shared" si="12"/>
        <v>0.90156802736827046</v>
      </c>
      <c r="D151" s="1">
        <v>3.0559606555672514</v>
      </c>
      <c r="E151" s="85">
        <f t="shared" si="14"/>
        <v>3.3896062890426344</v>
      </c>
      <c r="F151" s="84">
        <f t="shared" si="13"/>
        <v>268.74435115472284</v>
      </c>
    </row>
    <row r="152" spans="1:6" x14ac:dyDescent="0.25">
      <c r="A152">
        <v>168</v>
      </c>
      <c r="B152" s="2">
        <v>117.61378669839311</v>
      </c>
      <c r="C152" s="84">
        <f t="shared" si="12"/>
        <v>0.89865480621958227</v>
      </c>
      <c r="D152" s="1">
        <v>3.0617881781145639</v>
      </c>
      <c r="E152" s="85">
        <f t="shared" si="14"/>
        <v>3.4070792888703805</v>
      </c>
      <c r="F152" s="84">
        <f t="shared" si="13"/>
        <v>271.8061393328374</v>
      </c>
    </row>
    <row r="153" spans="1:6" x14ac:dyDescent="0.25">
      <c r="A153">
        <v>169</v>
      </c>
      <c r="B153" s="2">
        <v>118.5124415046127</v>
      </c>
      <c r="C153" s="84">
        <f t="shared" si="12"/>
        <v>0.89569881341043356</v>
      </c>
      <c r="D153" s="1">
        <v>3.0674851098168223</v>
      </c>
      <c r="E153" s="85">
        <f t="shared" si="14"/>
        <v>3.4246836814901722</v>
      </c>
      <c r="F153" s="84">
        <f t="shared" si="13"/>
        <v>274.8736244426542</v>
      </c>
    </row>
    <row r="154" spans="1:6" x14ac:dyDescent="0.25">
      <c r="A154">
        <v>170</v>
      </c>
      <c r="B154" s="2">
        <v>119.40814031802313</v>
      </c>
      <c r="C154" s="84">
        <f t="shared" si="12"/>
        <v>0.89270138126127563</v>
      </c>
      <c r="D154" s="1">
        <v>3.0730546573701085</v>
      </c>
      <c r="E154" s="85">
        <f t="shared" si="14"/>
        <v>3.4424217570138245</v>
      </c>
      <c r="F154" s="84">
        <f t="shared" si="13"/>
        <v>277.94667910002431</v>
      </c>
    </row>
    <row r="155" spans="1:6" x14ac:dyDescent="0.25">
      <c r="A155">
        <v>171</v>
      </c>
      <c r="B155" s="2">
        <v>120.3008416992844</v>
      </c>
      <c r="C155" s="84">
        <f t="shared" si="12"/>
        <v>0.8896638246057762</v>
      </c>
      <c r="D155" s="1">
        <v>3.0784999563350839</v>
      </c>
      <c r="E155" s="85">
        <f t="shared" si="14"/>
        <v>3.4602957557583225</v>
      </c>
      <c r="F155" s="84">
        <f t="shared" si="13"/>
        <v>281.02517905635938</v>
      </c>
    </row>
    <row r="156" spans="1:6" x14ac:dyDescent="0.25">
      <c r="A156">
        <v>172</v>
      </c>
      <c r="B156" s="2">
        <v>121.19050552389018</v>
      </c>
      <c r="C156" s="84">
        <f t="shared" si="12"/>
        <v>0.88658744064781558</v>
      </c>
      <c r="D156" s="1">
        <v>3.0838240717665473</v>
      </c>
      <c r="E156" s="85">
        <f t="shared" si="14"/>
        <v>3.4783078694564464</v>
      </c>
      <c r="F156" s="84">
        <f t="shared" si="13"/>
        <v>284.10900312812595</v>
      </c>
    </row>
    <row r="157" spans="1:6" x14ac:dyDescent="0.25">
      <c r="A157">
        <v>173</v>
      </c>
      <c r="B157" s="2">
        <v>122.077092964538</v>
      </c>
      <c r="C157" s="84">
        <f t="shared" si="12"/>
        <v>0.88347350883496745</v>
      </c>
      <c r="D157" s="1">
        <v>3.0890299989159047</v>
      </c>
      <c r="E157" s="85">
        <f t="shared" si="14"/>
        <v>3.4964602424688374</v>
      </c>
      <c r="F157" s="84">
        <f t="shared" si="13"/>
        <v>287.19803312704187</v>
      </c>
    </row>
    <row r="158" spans="1:6" x14ac:dyDescent="0.25">
      <c r="A158">
        <v>174</v>
      </c>
      <c r="B158" s="2">
        <v>122.96056647337296</v>
      </c>
      <c r="C158" s="84">
        <f t="shared" si="12"/>
        <v>0.88032329074783888</v>
      </c>
      <c r="D158" s="1">
        <v>3.0941206639997136</v>
      </c>
      <c r="E158" s="85">
        <f t="shared" si="14"/>
        <v>3.5147549729954815</v>
      </c>
      <c r="F158" s="84">
        <f t="shared" si="13"/>
        <v>290.29215379104159</v>
      </c>
    </row>
    <row r="159" spans="1:6" x14ac:dyDescent="0.25">
      <c r="A159">
        <v>175</v>
      </c>
      <c r="B159" s="2">
        <v>123.8408897641208</v>
      </c>
      <c r="C159" s="84">
        <f t="shared" si="12"/>
        <v>0.877138030005014</v>
      </c>
      <c r="D159" s="1">
        <v>3.0990989250277989</v>
      </c>
      <c r="E159" s="85">
        <f t="shared" si="14"/>
        <v>3.5331941142833396</v>
      </c>
      <c r="F159" s="84">
        <f t="shared" si="13"/>
        <v>293.3912527160694</v>
      </c>
    </row>
    <row r="160" spans="1:6" x14ac:dyDescent="0.25">
      <c r="A160">
        <v>176</v>
      </c>
      <c r="B160" s="2">
        <v>124.71802779412582</v>
      </c>
      <c r="C160" s="84">
        <f t="shared" si="12"/>
        <v>0.87391895218323157</v>
      </c>
      <c r="D160" s="1">
        <v>3.1039675726848182</v>
      </c>
      <c r="E160" s="85">
        <f t="shared" si="14"/>
        <v>3.5517796758274445</v>
      </c>
      <c r="F160" s="84">
        <f t="shared" si="13"/>
        <v>296.49522028875424</v>
      </c>
    </row>
    <row r="161" spans="1:6" x14ac:dyDescent="0.25">
      <c r="A161">
        <v>177</v>
      </c>
      <c r="B161" s="2">
        <v>125.59194674630905</v>
      </c>
      <c r="C161" s="84">
        <f t="shared" si="12"/>
        <v>0.87066726475180189</v>
      </c>
      <c r="D161" s="1">
        <v>3.1087293312594619</v>
      </c>
      <c r="E161" s="85">
        <f t="shared" si="14"/>
        <v>3.5705136245654723</v>
      </c>
      <c r="F161" s="84">
        <f t="shared" si="13"/>
        <v>299.60394962001368</v>
      </c>
    </row>
    <row r="162" spans="1:6" x14ac:dyDescent="0.25">
      <c r="A162">
        <v>178</v>
      </c>
      <c r="B162" s="2">
        <v>126.46261401106085</v>
      </c>
      <c r="C162" s="84">
        <f t="shared" si="12"/>
        <v>0.86738415702114935</v>
      </c>
      <c r="D162" s="1">
        <v>3.1133868596158321</v>
      </c>
      <c r="E162" s="85">
        <f t="shared" si="14"/>
        <v>3.5893978860625175</v>
      </c>
      <c r="F162" s="84">
        <f t="shared" si="13"/>
        <v>302.71733647962952</v>
      </c>
    </row>
    <row r="163" spans="1:6" x14ac:dyDescent="0.25">
      <c r="A163">
        <v>179</v>
      </c>
      <c r="B163" s="2">
        <v>127.329998168082</v>
      </c>
      <c r="C163" s="84">
        <f t="shared" si="12"/>
        <v>0.86407080010502568</v>
      </c>
      <c r="D163" s="1">
        <v>3.1179427522018486</v>
      </c>
      <c r="E163" s="85">
        <f t="shared" si="14"/>
        <v>3.6084343456842545</v>
      </c>
      <c r="F163" s="84">
        <f t="shared" si="13"/>
        <v>305.83527923183135</v>
      </c>
    </row>
    <row r="164" spans="1:6" x14ac:dyDescent="0.25">
      <c r="A164">
        <v>180</v>
      </c>
      <c r="B164" s="2">
        <v>128.19406896818703</v>
      </c>
      <c r="C164" s="84">
        <f t="shared" si="12"/>
        <v>0.86072834689542788</v>
      </c>
      <c r="D164" s="1">
        <v>3.122399540089861</v>
      </c>
      <c r="E164" s="85">
        <f t="shared" si="14"/>
        <v>3.6276248497590258</v>
      </c>
      <c r="F164" s="84">
        <f t="shared" si="13"/>
        <v>308.95767877192122</v>
      </c>
    </row>
    <row r="165" spans="1:6" x14ac:dyDescent="0.25">
      <c r="A165">
        <v>181</v>
      </c>
      <c r="B165" s="2">
        <v>129.05479731508245</v>
      </c>
      <c r="C165" s="84">
        <f t="shared" si="12"/>
        <v>0.85735793205071786</v>
      </c>
      <c r="D165" s="1">
        <v>3.1267596920449239</v>
      </c>
      <c r="E165" s="85">
        <f t="shared" si="14"/>
        <v>3.6469712067234448</v>
      </c>
      <c r="F165" s="84">
        <f t="shared" si="13"/>
        <v>312.08443846396614</v>
      </c>
    </row>
    <row r="166" spans="1:6" x14ac:dyDescent="0.25">
      <c r="A166">
        <v>182</v>
      </c>
      <c r="B166" s="2">
        <v>129.91215524713317</v>
      </c>
      <c r="C166" s="84">
        <f t="shared" si="12"/>
        <v>0.85396067199536674</v>
      </c>
      <c r="D166" s="1">
        <v>3.1310256156164979</v>
      </c>
      <c r="E166" s="85">
        <f t="shared" si="14"/>
        <v>3.6664751882549056</v>
      </c>
      <c r="F166" s="84">
        <f t="shared" si="13"/>
        <v>315.21546407958266</v>
      </c>
    </row>
    <row r="167" spans="1:6" x14ac:dyDescent="0.25">
      <c r="A167">
        <v>183</v>
      </c>
      <c r="B167" s="2">
        <v>130.76611591912854</v>
      </c>
      <c r="C167" s="84">
        <f t="shared" si="12"/>
        <v>0.8505376649311529</v>
      </c>
      <c r="D167" s="1">
        <v>3.1351996582496184</v>
      </c>
      <c r="E167" s="85">
        <f t="shared" si="14"/>
        <v>3.6861385303887726</v>
      </c>
      <c r="F167" s="84">
        <f t="shared" si="13"/>
        <v>318.35066373783229</v>
      </c>
    </row>
    <row r="168" spans="1:6" x14ac:dyDescent="0.25">
      <c r="A168">
        <v>184</v>
      </c>
      <c r="B168" s="2">
        <v>131.61665358405969</v>
      </c>
      <c r="C168" s="84">
        <f t="shared" si="12"/>
        <v>0.84708999086046788</v>
      </c>
      <c r="D168" s="1">
        <v>3.1392841084118324</v>
      </c>
      <c r="E168" s="85">
        <f t="shared" si="14"/>
        <v>3.7059629346145035</v>
      </c>
      <c r="F168" s="84">
        <f t="shared" si="13"/>
        <v>321.48994784624415</v>
      </c>
    </row>
    <row r="169" spans="1:6" x14ac:dyDescent="0.25">
      <c r="A169">
        <v>185</v>
      </c>
      <c r="B169" s="2">
        <v>132.46374357492016</v>
      </c>
      <c r="C169" s="84">
        <f t="shared" si="12"/>
        <v>0.84361871161962654</v>
      </c>
      <c r="D169" s="1">
        <v>3.143281196732465</v>
      </c>
      <c r="E169" s="85">
        <f t="shared" si="14"/>
        <v>3.7259500689568839</v>
      </c>
      <c r="F169" s="84">
        <f t="shared" si="13"/>
        <v>324.63322904297661</v>
      </c>
    </row>
    <row r="170" spans="1:6" x14ac:dyDescent="0.25">
      <c r="A170">
        <v>186</v>
      </c>
      <c r="B170" s="2">
        <v>133.30736228653979</v>
      </c>
      <c r="C170" s="84">
        <f t="shared" si="12"/>
        <v>0.84012487092229549</v>
      </c>
      <c r="D170" s="1">
        <v>3.147193097151022</v>
      </c>
      <c r="E170" s="85">
        <f t="shared" si="14"/>
        <v>3.7461015690393853</v>
      </c>
      <c r="F170" s="84">
        <f t="shared" si="13"/>
        <v>327.78042214012765</v>
      </c>
    </row>
    <row r="171" spans="1:6" x14ac:dyDescent="0.25">
      <c r="A171">
        <v>187</v>
      </c>
      <c r="B171" s="2">
        <v>134.14748715746208</v>
      </c>
      <c r="C171" s="84">
        <f t="shared" si="12"/>
        <v>0.83660949441392063</v>
      </c>
      <c r="D171" s="1">
        <v>3.1510219280717822</v>
      </c>
      <c r="E171" s="85">
        <f t="shared" si="14"/>
        <v>3.7664190391231487</v>
      </c>
      <c r="F171" s="84">
        <f t="shared" si="13"/>
        <v>330.93144406819943</v>
      </c>
    </row>
    <row r="172" spans="1:6" x14ac:dyDescent="0.25">
      <c r="A172">
        <v>188</v>
      </c>
      <c r="B172" s="2">
        <v>134.984096651876</v>
      </c>
      <c r="C172" s="84">
        <f t="shared" si="12"/>
        <v>0.83307358973416967</v>
      </c>
      <c r="D172" s="1">
        <v>3.1547697535218138</v>
      </c>
      <c r="E172" s="85">
        <f t="shared" si="14"/>
        <v>3.7869040531323144</v>
      </c>
      <c r="F172" s="84">
        <f t="shared" si="13"/>
        <v>334.08621382172123</v>
      </c>
    </row>
    <row r="173" spans="1:6" x14ac:dyDescent="0.25">
      <c r="A173">
        <v>189</v>
      </c>
      <c r="B173" s="2">
        <v>135.81717024161017</v>
      </c>
      <c r="C173" s="84">
        <f t="shared" ref="C173:C183" si="15">B174-B173</f>
        <v>0.82951814658974854</v>
      </c>
      <c r="D173" s="1">
        <v>3.1584385843099336</v>
      </c>
      <c r="E173" s="85">
        <f t="shared" si="14"/>
        <v>3.8075581556529707</v>
      </c>
      <c r="F173" s="84">
        <f t="shared" si="13"/>
        <v>337.24465240603115</v>
      </c>
    </row>
    <row r="174" spans="1:6" x14ac:dyDescent="0.25">
      <c r="A174">
        <v>190</v>
      </c>
      <c r="B174" s="2">
        <v>136.64668838819992</v>
      </c>
      <c r="C174" s="84">
        <f t="shared" si="15"/>
        <v>0.82594413683489165</v>
      </c>
      <c r="D174" s="1">
        <v>3.1620303791842446</v>
      </c>
      <c r="E174" s="85">
        <f t="shared" si="14"/>
        <v>3.8283828629155128</v>
      </c>
      <c r="F174" s="84">
        <f t="shared" si="13"/>
        <v>340.40668278521537</v>
      </c>
    </row>
    <row r="175" spans="1:6" x14ac:dyDescent="0.25">
      <c r="A175">
        <v>191</v>
      </c>
      <c r="B175" s="2">
        <v>137.47263252503481</v>
      </c>
      <c r="C175" s="84">
        <f t="shared" si="15"/>
        <v>0.82235251456054925</v>
      </c>
      <c r="D175" s="1">
        <v>3.165547045986159</v>
      </c>
      <c r="E175" s="85">
        <f t="shared" si="14"/>
        <v>3.8493796637537758</v>
      </c>
      <c r="F175" s="84">
        <f t="shared" si="13"/>
        <v>343.57222983120153</v>
      </c>
    </row>
    <row r="176" spans="1:6" x14ac:dyDescent="0.25">
      <c r="A176">
        <v>192</v>
      </c>
      <c r="B176" s="2">
        <v>138.29498503959536</v>
      </c>
      <c r="C176" s="84">
        <f t="shared" si="15"/>
        <v>0.81874421619147597</v>
      </c>
      <c r="D176" s="1">
        <v>3.1689904427989277</v>
      </c>
      <c r="E176" s="85">
        <f t="shared" si="14"/>
        <v>3.8705500205424479</v>
      </c>
      <c r="F176" s="84">
        <f t="shared" si="13"/>
        <v>346.74122027400045</v>
      </c>
    </row>
    <row r="177" spans="1:6" x14ac:dyDescent="0.25">
      <c r="A177">
        <v>193</v>
      </c>
      <c r="B177" s="2">
        <v>139.11372925578684</v>
      </c>
      <c r="C177" s="84">
        <f t="shared" si="15"/>
        <v>0.81512016059025427</v>
      </c>
      <c r="D177" s="1">
        <v>3.1723623790889244</v>
      </c>
      <c r="E177" s="85">
        <f t="shared" si="14"/>
        <v>3.8918953701153907</v>
      </c>
      <c r="F177" s="84">
        <f t="shared" si="13"/>
        <v>349.91358265308941</v>
      </c>
    </row>
    <row r="178" spans="1:6" x14ac:dyDescent="0.25">
      <c r="A178">
        <v>194</v>
      </c>
      <c r="B178" s="2">
        <v>139.92884941637709</v>
      </c>
      <c r="C178" s="84">
        <f t="shared" si="15"/>
        <v>0.81148124916938968</v>
      </c>
      <c r="D178" s="1">
        <v>3.1756646168380493</v>
      </c>
      <c r="E178" s="85">
        <f t="shared" si="14"/>
        <v>3.9134171246576233</v>
      </c>
      <c r="F178" s="84">
        <f t="shared" si="13"/>
        <v>353.08924726992745</v>
      </c>
    </row>
    <row r="179" spans="1:6" x14ac:dyDescent="0.25">
      <c r="A179">
        <v>195</v>
      </c>
      <c r="B179" s="2">
        <v>140.74033066554648</v>
      </c>
      <c r="C179" s="84">
        <f t="shared" si="15"/>
        <v>0.8078283660091472</v>
      </c>
      <c r="D179" s="1">
        <v>3.1788988716657984</v>
      </c>
      <c r="E179" s="85">
        <f t="shared" si="14"/>
        <v>3.9351166725801789</v>
      </c>
      <c r="F179" s="84">
        <f t="shared" si="13"/>
        <v>356.26814614159326</v>
      </c>
    </row>
    <row r="180" spans="1:6" x14ac:dyDescent="0.25">
      <c r="A180">
        <v>196</v>
      </c>
      <c r="B180" s="2">
        <v>141.54815903155563</v>
      </c>
      <c r="C180" s="84">
        <f t="shared" si="15"/>
        <v>0.80416237798200996</v>
      </c>
      <c r="D180" s="1">
        <v>3.1820668139396844</v>
      </c>
      <c r="E180" s="85">
        <f t="shared" si="14"/>
        <v>3.9569953793720885</v>
      </c>
      <c r="F180" s="84">
        <f t="shared" si="13"/>
        <v>359.45021295553295</v>
      </c>
    </row>
    <row r="181" spans="1:6" x14ac:dyDescent="0.25">
      <c r="A181">
        <v>197</v>
      </c>
      <c r="B181" s="2">
        <v>142.35232140953764</v>
      </c>
      <c r="C181" s="84">
        <f t="shared" si="15"/>
        <v>0.80048413488390224</v>
      </c>
      <c r="D181" s="1">
        <v>3.1851700698728078</v>
      </c>
      <c r="E181" s="85">
        <f t="shared" si="14"/>
        <v>3.9790545884269988</v>
      </c>
      <c r="F181" s="84">
        <f t="shared" si="13"/>
        <v>362.63538302540576</v>
      </c>
    </row>
    <row r="182" spans="1:6" x14ac:dyDescent="0.25">
      <c r="A182">
        <v>198</v>
      </c>
      <c r="B182" s="2">
        <v>143.15280554442154</v>
      </c>
      <c r="C182" s="84">
        <f t="shared" si="15"/>
        <v>0.79679446957004529</v>
      </c>
      <c r="D182" s="1">
        <v>3.1882102226075437</v>
      </c>
      <c r="E182" s="85">
        <f t="shared" si="14"/>
        <v>4.0012956218532985</v>
      </c>
      <c r="F182" s="84">
        <f t="shared" si="13"/>
        <v>365.82359324801331</v>
      </c>
    </row>
    <row r="183" spans="1:6" x14ac:dyDescent="0.25">
      <c r="A183">
        <v>199</v>
      </c>
      <c r="B183" s="2">
        <v>143.94960001399159</v>
      </c>
      <c r="C183" s="84">
        <f t="shared" si="15"/>
        <v>0.79309419809669635</v>
      </c>
      <c r="D183" s="1">
        <v>3.1911888132843833</v>
      </c>
      <c r="E183" s="85">
        <f t="shared" si="14"/>
        <v>4.0237197812602137</v>
      </c>
      <c r="F183" s="84">
        <f t="shared" si="13"/>
        <v>369.01478206129769</v>
      </c>
    </row>
    <row r="184" spans="1:6" x14ac:dyDescent="0.25">
      <c r="A184">
        <v>200</v>
      </c>
      <c r="B184" s="2">
        <v>144.74269421208828</v>
      </c>
      <c r="C184" s="84"/>
      <c r="F184" s="84"/>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891B6-A555-4806-9FE7-00C9D9416564}">
  <sheetPr codeName="Worksheet____5"/>
  <dimension ref="A1:AO33"/>
  <sheetViews>
    <sheetView topLeftCell="C1" zoomScale="70" zoomScaleNormal="70" workbookViewId="0">
      <selection activeCell="T3" sqref="T3:T4"/>
    </sheetView>
  </sheetViews>
  <sheetFormatPr defaultRowHeight="15" x14ac:dyDescent="0.25"/>
  <cols>
    <col min="1" max="1" width="0" hidden="1" customWidth="1"/>
    <col min="2" max="2" width="4.28515625" hidden="1" customWidth="1"/>
    <col min="3" max="3" width="8.85546875" bestFit="1" customWidth="1"/>
    <col min="4" max="4" width="11.7109375" customWidth="1"/>
    <col min="5" max="5" width="11.7109375" hidden="1" customWidth="1"/>
    <col min="6" max="6" width="11.7109375" customWidth="1"/>
    <col min="7" max="8" width="14.28515625" customWidth="1"/>
    <col min="9" max="9" width="16.7109375" customWidth="1"/>
    <col min="10" max="10" width="23.28515625" customWidth="1"/>
    <col min="11" max="11" width="15.140625" customWidth="1"/>
    <col min="12" max="12" width="17.42578125" customWidth="1"/>
    <col min="13" max="13" width="21.7109375" customWidth="1"/>
    <col min="14" max="14" width="4.85546875" style="168" customWidth="1"/>
    <col min="15" max="15" width="8.85546875" hidden="1" customWidth="1"/>
    <col min="16" max="16" width="4.28515625" hidden="1" customWidth="1"/>
    <col min="17" max="17" width="9.140625" customWidth="1"/>
    <col min="18" max="18" width="17.140625" customWidth="1"/>
    <col min="19" max="19" width="17.140625" hidden="1" customWidth="1"/>
    <col min="20" max="21" width="17.140625" customWidth="1"/>
    <col min="22" max="22" width="13.28515625" customWidth="1"/>
    <col min="23" max="23" width="17.140625" customWidth="1"/>
    <col min="24" max="24" width="19.85546875" customWidth="1"/>
    <col min="25" max="25" width="17.140625" customWidth="1"/>
    <col min="26" max="26" width="19.140625" customWidth="1"/>
    <col min="27" max="27" width="19.7109375" customWidth="1"/>
    <col min="28" max="28" width="4.5703125" style="168" customWidth="1"/>
    <col min="29" max="30" width="0" hidden="1" customWidth="1"/>
    <col min="31" max="31" width="8.85546875" bestFit="1" customWidth="1"/>
    <col min="32" max="32" width="18.7109375" customWidth="1"/>
    <col min="33" max="33" width="18.7109375" hidden="1" customWidth="1"/>
    <col min="34" max="35" width="18.7109375" customWidth="1"/>
    <col min="36" max="36" width="13.28515625" customWidth="1"/>
    <col min="37" max="37" width="18.7109375" customWidth="1"/>
    <col min="38" max="38" width="21.28515625" customWidth="1"/>
    <col min="39" max="40" width="18.7109375" customWidth="1"/>
    <col min="41" max="41" width="20.5703125" customWidth="1"/>
  </cols>
  <sheetData>
    <row r="1" spans="1:41" ht="15.75" thickBot="1" x14ac:dyDescent="0.3">
      <c r="C1" s="173"/>
      <c r="D1" s="173"/>
      <c r="E1" s="173"/>
      <c r="F1" s="173"/>
      <c r="G1" s="173"/>
      <c r="H1" s="173"/>
      <c r="I1" s="173"/>
      <c r="J1" s="173"/>
      <c r="K1" s="173"/>
      <c r="L1" s="173"/>
      <c r="M1" s="173"/>
      <c r="N1" s="172"/>
      <c r="Q1" s="173"/>
      <c r="R1" s="173"/>
      <c r="S1" s="173"/>
      <c r="T1" s="173"/>
      <c r="U1" s="173"/>
      <c r="V1" s="173"/>
      <c r="W1" s="173"/>
      <c r="X1" s="173"/>
      <c r="Y1" s="173"/>
      <c r="Z1" s="173"/>
      <c r="AA1" s="173"/>
      <c r="AB1" s="172"/>
      <c r="AE1" s="173"/>
      <c r="AF1" s="173"/>
      <c r="AG1" s="173"/>
      <c r="AH1" s="173"/>
      <c r="AI1" s="173"/>
      <c r="AJ1" s="173"/>
      <c r="AK1" s="173"/>
      <c r="AL1" s="173"/>
      <c r="AM1" s="173"/>
      <c r="AN1" s="173"/>
      <c r="AO1" s="173"/>
    </row>
    <row r="2" spans="1:41" ht="16.5" thickBot="1" x14ac:dyDescent="0.3">
      <c r="C2" s="233" t="s">
        <v>67</v>
      </c>
      <c r="D2" s="233"/>
      <c r="E2" s="233"/>
      <c r="F2" s="233"/>
      <c r="G2" s="233"/>
      <c r="H2" s="233"/>
      <c r="I2" s="233"/>
      <c r="J2" s="233"/>
      <c r="K2" s="233"/>
      <c r="L2" s="233"/>
      <c r="M2" s="233"/>
      <c r="N2" s="182"/>
      <c r="Q2" s="233" t="s">
        <v>32</v>
      </c>
      <c r="R2" s="233"/>
      <c r="S2" s="233"/>
      <c r="T2" s="233"/>
      <c r="U2" s="233"/>
      <c r="V2" s="233"/>
      <c r="W2" s="233"/>
      <c r="X2" s="233"/>
      <c r="Y2" s="233"/>
      <c r="Z2" s="233"/>
      <c r="AA2" s="233"/>
      <c r="AB2" s="182"/>
      <c r="AE2" s="233" t="s">
        <v>33</v>
      </c>
      <c r="AF2" s="233"/>
      <c r="AG2" s="233"/>
      <c r="AH2" s="233"/>
      <c r="AI2" s="233"/>
      <c r="AJ2" s="233"/>
      <c r="AK2" s="233"/>
      <c r="AL2" s="233"/>
      <c r="AM2" s="233"/>
      <c r="AN2" s="233"/>
      <c r="AO2" s="233"/>
    </row>
    <row r="3" spans="1:41" ht="14.45" customHeight="1" x14ac:dyDescent="0.25">
      <c r="B3" s="230" t="s">
        <v>72</v>
      </c>
      <c r="C3" s="231" t="s">
        <v>13</v>
      </c>
      <c r="D3" s="231" t="s">
        <v>108</v>
      </c>
      <c r="E3" s="231" t="s">
        <v>107</v>
      </c>
      <c r="F3" s="231" t="s">
        <v>107</v>
      </c>
      <c r="G3" s="227" t="s">
        <v>111</v>
      </c>
      <c r="H3" s="229" t="s">
        <v>116</v>
      </c>
      <c r="I3" s="227" t="s">
        <v>112</v>
      </c>
      <c r="J3" s="227" t="s">
        <v>110</v>
      </c>
      <c r="K3" s="227" t="s">
        <v>113</v>
      </c>
      <c r="L3" s="227" t="s">
        <v>114</v>
      </c>
      <c r="M3" s="227" t="s">
        <v>109</v>
      </c>
      <c r="N3" s="183"/>
      <c r="P3" s="230" t="s">
        <v>72</v>
      </c>
      <c r="Q3" s="231" t="s">
        <v>13</v>
      </c>
      <c r="R3" s="231" t="s">
        <v>108</v>
      </c>
      <c r="S3" s="231" t="s">
        <v>107</v>
      </c>
      <c r="T3" s="231" t="s">
        <v>107</v>
      </c>
      <c r="U3" s="227" t="s">
        <v>111</v>
      </c>
      <c r="V3" s="229" t="s">
        <v>116</v>
      </c>
      <c r="W3" s="227" t="s">
        <v>112</v>
      </c>
      <c r="X3" s="227" t="s">
        <v>110</v>
      </c>
      <c r="Y3" s="227" t="s">
        <v>113</v>
      </c>
      <c r="Z3" s="227" t="s">
        <v>114</v>
      </c>
      <c r="AA3" s="227" t="s">
        <v>109</v>
      </c>
      <c r="AB3" s="183"/>
      <c r="AD3" s="230" t="s">
        <v>72</v>
      </c>
      <c r="AE3" s="231" t="s">
        <v>13</v>
      </c>
      <c r="AF3" s="231" t="s">
        <v>108</v>
      </c>
      <c r="AG3" s="231" t="s">
        <v>107</v>
      </c>
      <c r="AH3" s="231" t="s">
        <v>107</v>
      </c>
      <c r="AI3" s="227" t="s">
        <v>111</v>
      </c>
      <c r="AJ3" s="229" t="s">
        <v>116</v>
      </c>
      <c r="AK3" s="227" t="s">
        <v>112</v>
      </c>
      <c r="AL3" s="227" t="s">
        <v>110</v>
      </c>
      <c r="AM3" s="227" t="s">
        <v>113</v>
      </c>
      <c r="AN3" s="227" t="s">
        <v>114</v>
      </c>
      <c r="AO3" s="227" t="s">
        <v>109</v>
      </c>
    </row>
    <row r="4" spans="1:41" ht="15.75" thickBot="1" x14ac:dyDescent="0.3">
      <c r="A4" t="s">
        <v>115</v>
      </c>
      <c r="B4" s="230"/>
      <c r="C4" s="232"/>
      <c r="D4" s="232"/>
      <c r="E4" s="232"/>
      <c r="F4" s="232"/>
      <c r="G4" s="228"/>
      <c r="H4" s="228"/>
      <c r="I4" s="228"/>
      <c r="J4" s="228"/>
      <c r="K4" s="228"/>
      <c r="L4" s="228"/>
      <c r="M4" s="228"/>
      <c r="N4" s="183"/>
      <c r="O4" t="s">
        <v>115</v>
      </c>
      <c r="P4" s="230"/>
      <c r="Q4" s="232"/>
      <c r="R4" s="232"/>
      <c r="S4" s="232"/>
      <c r="T4" s="232"/>
      <c r="U4" s="228"/>
      <c r="V4" s="228"/>
      <c r="W4" s="228"/>
      <c r="X4" s="228"/>
      <c r="Y4" s="228"/>
      <c r="Z4" s="228"/>
      <c r="AA4" s="228"/>
      <c r="AB4" s="183"/>
      <c r="AC4" t="s">
        <v>115</v>
      </c>
      <c r="AD4" s="230"/>
      <c r="AE4" s="232"/>
      <c r="AF4" s="232"/>
      <c r="AG4" s="232"/>
      <c r="AH4" s="232"/>
      <c r="AI4" s="228"/>
      <c r="AJ4" s="228"/>
      <c r="AK4" s="228"/>
      <c r="AL4" s="228"/>
      <c r="AM4" s="228"/>
      <c r="AN4" s="228"/>
      <c r="AO4" s="228"/>
    </row>
    <row r="5" spans="1:41" x14ac:dyDescent="0.25">
      <c r="B5" s="92">
        <f>'Curve-Mixed'!I3</f>
        <v>21</v>
      </c>
      <c r="C5" s="92">
        <f t="shared" ref="C5:C31" si="0">IF(B5&gt;0,B5,"")</f>
        <v>21</v>
      </c>
      <c r="D5" s="92">
        <v>1</v>
      </c>
      <c r="E5" s="29">
        <f>IFERROR(VLOOKUP(C5,'Curve-Mixed'!$G$2:$R$185,12,FALSE),"")</f>
        <v>13.227735731092654</v>
      </c>
      <c r="F5" s="29">
        <f>IFERROR(IF(E6="",E5+(MAX('Кормовой бюджет'!$C$24:$J$24)-E5),E5),"")</f>
        <v>13.227735731092654</v>
      </c>
      <c r="P5" s="92">
        <f>'Curve-Barrows'!I3</f>
        <v>21</v>
      </c>
      <c r="Q5" s="92">
        <f>IF(P5&gt;0,P5,"")</f>
        <v>21</v>
      </c>
      <c r="R5" s="92">
        <v>1</v>
      </c>
      <c r="S5" s="29">
        <f>IFERROR(VLOOKUP(Q5,'Curve-Barrows'!$G$2:$R$185,12,FALSE),"")</f>
        <v>13.101069089923836</v>
      </c>
      <c r="T5" s="29">
        <f>IFERROR(IF(S6="",S5+(MAX('Кормовой бюджет'!$C$38:$J$38)-S5),S5),"")</f>
        <v>13.101069089923836</v>
      </c>
      <c r="AD5" s="92">
        <f>'Curve-Gilts'!I3</f>
        <v>21</v>
      </c>
      <c r="AE5" s="92">
        <f>IF(AD5&gt;0,AD5,"")</f>
        <v>21</v>
      </c>
      <c r="AF5" s="92">
        <v>1</v>
      </c>
      <c r="AG5" s="29">
        <f>IFERROR(VLOOKUP(AE5,'Curve-Gilts'!$G$2:$R$185,12,FALSE),"")</f>
        <v>13.355627038574953</v>
      </c>
      <c r="AH5" s="29">
        <f>IFERROR(IF(AG6="",AG5+(MAX('Кормовой бюджет'!$C$43:$J$43)-AG5),AG5),"")</f>
        <v>13.355627038574953</v>
      </c>
    </row>
    <row r="6" spans="1:41" x14ac:dyDescent="0.25">
      <c r="A6" s="92">
        <f>IFERROR(IF(C6-C5&lt;0,"",C6-C5),"")</f>
        <v>7</v>
      </c>
      <c r="B6" s="92">
        <f>MAX('Curve-Mixed'!G4:G10)</f>
        <v>28</v>
      </c>
      <c r="C6" s="92">
        <f t="shared" si="0"/>
        <v>28</v>
      </c>
      <c r="D6" s="92">
        <f>IF(E6="","",D5+1)</f>
        <v>2</v>
      </c>
      <c r="E6" s="29">
        <f>IFERROR(VLOOKUP(C6,'Curve-Mixed'!$G$2:$R$185,12,FALSE),"")</f>
        <v>15.761171261201072</v>
      </c>
      <c r="F6" s="29">
        <f>IFERROR(IF(E7="",E6+(MAX('Кормовой бюджет'!$C$24:$J$24)-E6),E6),"")</f>
        <v>15.761171261201072</v>
      </c>
      <c r="G6" s="31">
        <f>IF(E6="","",SUM('Curve-Mixed'!Q4:Q10))</f>
        <v>2.9657658457224034</v>
      </c>
      <c r="H6" s="31">
        <f>IF(E6="","",G6/A6)</f>
        <v>0.42368083510320048</v>
      </c>
      <c r="I6" s="122">
        <f t="shared" ref="I6:I30" si="1">IF(E6="","",(E6-E5)/(B6-B5))</f>
        <v>0.36191936144405978</v>
      </c>
      <c r="J6" s="122">
        <f>IF(E6="","",((G6/A6)/I6))</f>
        <v>1.1706498193760957</v>
      </c>
      <c r="K6" s="122">
        <f>IF(E6="","",(E6-E5)/(B6-B5))</f>
        <v>0.36191936144405978</v>
      </c>
      <c r="L6" s="31">
        <f>IF(G6="","",SUM($G$5:$G6))</f>
        <v>2.9657658457224034</v>
      </c>
      <c r="M6" s="122">
        <f>IF(E6="","",L6/(K6*7*D5))</f>
        <v>1.1706498193760957</v>
      </c>
      <c r="N6" s="184"/>
      <c r="O6" s="92">
        <f>IFERROR(IF(Q6-Q5&lt;0,"",Q6-Q5),"")</f>
        <v>7</v>
      </c>
      <c r="P6" s="92">
        <f>MAX('Curve-Barrows'!G4:G10)</f>
        <v>28</v>
      </c>
      <c r="Q6" s="92">
        <f t="shared" ref="Q6:Q31" si="2">IF(P6&gt;0,P6,"")</f>
        <v>28</v>
      </c>
      <c r="R6" s="92">
        <f>IF(S6="","",R5+1)</f>
        <v>2</v>
      </c>
      <c r="S6" s="29">
        <f>IFERROR(VLOOKUP(Q6,'Curve-Barrows'!$G$2:$R$185,12,FALSE),"")</f>
        <v>15.622316380900321</v>
      </c>
      <c r="T6" s="29">
        <f>IFERROR(IF(S7="",S6+(MAX('Кормовой бюджет'!$C$38:$J$38)-S6),S6),"")</f>
        <v>15.622316380900321</v>
      </c>
      <c r="U6" s="31">
        <f>IF(S6="","",SUM('Curve-Barrows'!Q4:Q10))</f>
        <v>2.9514976857840911</v>
      </c>
      <c r="V6" s="31">
        <f>IF(S6="","",U6/O6)</f>
        <v>0.42164252654058443</v>
      </c>
      <c r="W6" s="122">
        <f>IF(S6="","",(S6-S5)/(Q6-Q5))</f>
        <v>0.36017818442521204</v>
      </c>
      <c r="X6" s="122">
        <f>IF(S6="","",((U6/O6)/W6))</f>
        <v>1.1706498193760952</v>
      </c>
      <c r="Y6" s="122">
        <f>IF(S6="","",(S6-S5)/(Q6-Q5))</f>
        <v>0.36017818442521204</v>
      </c>
      <c r="Z6" s="31">
        <f>IF(U6="","",SUM($U$5:$U6))</f>
        <v>2.9514976857840911</v>
      </c>
      <c r="AA6" s="122">
        <f>IF(S6="","",Z6/(Y6*7*R5))</f>
        <v>1.1706498193760952</v>
      </c>
      <c r="AB6" s="184"/>
      <c r="AC6" s="92">
        <f>IFERROR(IF(AE6-AE5&lt;0,"",AE6-AE5),"")</f>
        <v>7</v>
      </c>
      <c r="AD6" s="92">
        <f>MAX('Curve-Gilts'!G4:G10)</f>
        <v>28</v>
      </c>
      <c r="AE6" s="92">
        <f t="shared" ref="AE6:AE31" si="3">IF(AD6&gt;0,AD6,"")</f>
        <v>28</v>
      </c>
      <c r="AF6" s="92">
        <f>IF(AG6="","",AF5+1)</f>
        <v>2</v>
      </c>
      <c r="AG6" s="29">
        <f>IFERROR(VLOOKUP(AE6,'Curve-Gilts'!$G$2:$R$185,12,FALSE),"")</f>
        <v>15.901250807815307</v>
      </c>
      <c r="AH6" s="29">
        <f>IFERROR(IF(AG7="",AG6+(MAX('Кормовой бюджет'!$C$43:$J$43)-AG6),AG6),"")</f>
        <v>15.901250807815307</v>
      </c>
      <c r="AI6" s="31">
        <f>IF(AG6="","",SUM('Curve-Gilts'!Q4:Q10))</f>
        <v>2.9800340056607175</v>
      </c>
      <c r="AJ6" s="31">
        <f>IF(AG6="","",AI6/AC6)</f>
        <v>0.42571914366581681</v>
      </c>
      <c r="AK6" s="122">
        <f>IF(AG6="","",(AG6-AG5)/(AE6-AE5))</f>
        <v>0.36366053846290775</v>
      </c>
      <c r="AL6" s="122">
        <f>IF(AG6="","",((AI6/AC6)/AK6))</f>
        <v>1.1706498193760961</v>
      </c>
      <c r="AM6" s="122">
        <f>IF(AG6="","",(AG6-AG5)/(AE6-AE5))</f>
        <v>0.36366053846290775</v>
      </c>
      <c r="AN6" s="31">
        <f>IF(AI6="","",SUM($AI$5:$AI6))</f>
        <v>2.9800340056607175</v>
      </c>
      <c r="AO6" s="122">
        <f t="shared" ref="AO6:AO15" si="4">IF(AG6="","",AN6/(AM6*7*AF5))</f>
        <v>1.1706498193760961</v>
      </c>
    </row>
    <row r="7" spans="1:41" x14ac:dyDescent="0.25">
      <c r="A7" s="92">
        <f t="shared" ref="A7:A31" si="5">IFERROR(IF(C7-C6&lt;0,"",C7-C6),"")</f>
        <v>7</v>
      </c>
      <c r="B7" s="92">
        <f>MAX('Curve-Mixed'!G11:G17)</f>
        <v>35</v>
      </c>
      <c r="C7" s="92">
        <f t="shared" si="0"/>
        <v>35</v>
      </c>
      <c r="D7" s="92">
        <f t="shared" ref="D7:D31" si="6">IF(E7="","",D6+1)</f>
        <v>3</v>
      </c>
      <c r="E7" s="29">
        <f>IFERROR(VLOOKUP(C7,'Curve-Mixed'!$G$2:$R$185,12,FALSE),"")</f>
        <v>20.707554521403313</v>
      </c>
      <c r="F7" s="29">
        <f>IFERROR(IF(E8="",E7+(MAX('Кормовой бюджет'!$C$24:$J$24)-E7),E7),"")</f>
        <v>20.707554521403313</v>
      </c>
      <c r="G7" s="31">
        <f>IF(E7="","",SUM('Curve-Mixed'!Q11:Q17))</f>
        <v>6.3202346136883589</v>
      </c>
      <c r="H7" s="31">
        <f t="shared" ref="H7:H31" si="7">IF(E7="","",G7/A7)</f>
        <v>0.90289065909833699</v>
      </c>
      <c r="I7" s="122">
        <f t="shared" si="1"/>
        <v>0.70662618002889155</v>
      </c>
      <c r="J7" s="122">
        <f t="shared" ref="J7:J31" si="8">IF(E7="","",((G7/A7)/I7))</f>
        <v>1.2777486662911652</v>
      </c>
      <c r="K7" s="122">
        <f t="shared" ref="K7:K30" si="9">IF(E7="","",(E7-$E$5)/(B7-$B$5))</f>
        <v>0.53427277073647572</v>
      </c>
      <c r="L7" s="31">
        <f>IF(G7="","",SUM($G$5:$G7))</f>
        <v>9.2860004594107615</v>
      </c>
      <c r="M7" s="122">
        <f t="shared" ref="M7:M31" si="10">IF(E7="","",L7/(K7*7*D6))</f>
        <v>1.2414739875035241</v>
      </c>
      <c r="N7" s="184"/>
      <c r="O7" s="92">
        <f t="shared" ref="O7:O31" si="11">IFERROR(IF(Q7-Q6&lt;0,"",Q7-Q6),"")</f>
        <v>7</v>
      </c>
      <c r="P7" s="92">
        <f>MAX('Curve-Barrows'!G11:G17)</f>
        <v>35</v>
      </c>
      <c r="Q7" s="92">
        <f t="shared" si="2"/>
        <v>35</v>
      </c>
      <c r="R7" s="92">
        <f t="shared" ref="R7:R31" si="12">IF(S7="","",R6+1)</f>
        <v>3</v>
      </c>
      <c r="S7" s="29">
        <f>IFERROR(VLOOKUP(Q7,'Curve-Barrows'!$G$2:$R$185,12,FALSE),"")</f>
        <v>20.544902823975359</v>
      </c>
      <c r="T7" s="29">
        <f>IFERROR(IF(S8="",S7+(MAX('Кормовой бюджет'!$C$38:$J$38)-S7),S7),"")</f>
        <v>20.544902823975359</v>
      </c>
      <c r="U7" s="31">
        <f>IF(S7="","",SUM('Curve-Barrows'!Q11:Q17))</f>
        <v>6.2898282623421027</v>
      </c>
      <c r="V7" s="31">
        <f t="shared" ref="V7:V31" si="13">IF(S7="","",U7/O7)</f>
        <v>0.89854689462030035</v>
      </c>
      <c r="W7" s="122">
        <f>IF(S7="","",(S7-S6)/(Q7-Q6))</f>
        <v>0.70322663472500557</v>
      </c>
      <c r="X7" s="122">
        <f t="shared" ref="X7:X31" si="14">IF(S7="","",((U7/O7)/W7))</f>
        <v>1.2777486662911652</v>
      </c>
      <c r="Y7" s="122">
        <f t="shared" ref="Y7:Y23" si="15">IF(S7="","",(S7-$S$5)/(Q7-$Q$5))</f>
        <v>0.53170240957510884</v>
      </c>
      <c r="Z7" s="31">
        <f>IF(U7="","",SUM($U$5:$U7))</f>
        <v>9.2413259481261942</v>
      </c>
      <c r="AA7" s="122">
        <f t="shared" ref="AA7:AA31" si="16">IF(S7="","",Z7/(Y7*7*R6))</f>
        <v>1.2414739875035243</v>
      </c>
      <c r="AB7" s="184"/>
      <c r="AC7" s="92">
        <f t="shared" ref="AC7:AC30" si="17">IFERROR(IF(AE7-AE6&lt;0,"",AE7-AE6),"")</f>
        <v>7</v>
      </c>
      <c r="AD7" s="92">
        <f>MAX('Curve-Gilts'!G11:G17)</f>
        <v>35</v>
      </c>
      <c r="AE7" s="92">
        <f t="shared" si="3"/>
        <v>35</v>
      </c>
      <c r="AF7" s="92">
        <f t="shared" ref="AF7:AF31" si="18">IF(AG7="","",AF6+1)</f>
        <v>3</v>
      </c>
      <c r="AG7" s="29">
        <f>IFERROR(VLOOKUP(AE7,'Curve-Gilts'!$G$2:$R$185,12,FALSE),"")</f>
        <v>20.871430885144751</v>
      </c>
      <c r="AH7" s="29">
        <f>IFERROR(IF(AG8="",AG7+(MAX('Кормовой бюджет'!$C$43:$J$43)-AG7),AG7),"")</f>
        <v>20.871430885144751</v>
      </c>
      <c r="AI7" s="31">
        <f>IF(AG7="","",SUM('Curve-Gilts'!Q11:Q17))</f>
        <v>6.3506409650346152</v>
      </c>
      <c r="AJ7" s="31">
        <f t="shared" ref="AJ7:AJ31" si="19">IF(AG7="","",AI7/AC7)</f>
        <v>0.90723442357637363</v>
      </c>
      <c r="AK7" s="122">
        <f>IF(AG7="","",(AG7-AG6)/(AE7-AE6))</f>
        <v>0.71002572533277764</v>
      </c>
      <c r="AL7" s="122">
        <f t="shared" ref="AL7:AL31" si="20">IF(AG7="","",((AI7/AC7)/AK7))</f>
        <v>1.277748666291165</v>
      </c>
      <c r="AM7" s="122">
        <f t="shared" ref="AM7:AM23" si="21">IF(AG7="","",(AG7-$AG$5)/(AE7-$AE$5))</f>
        <v>0.53684313189784272</v>
      </c>
      <c r="AN7" s="31">
        <f>IF(AI7="","",SUM($AI$5:$AI7))</f>
        <v>9.3306749706953322</v>
      </c>
      <c r="AO7" s="122">
        <f t="shared" si="4"/>
        <v>1.2414739875035241</v>
      </c>
    </row>
    <row r="8" spans="1:41" x14ac:dyDescent="0.25">
      <c r="A8" s="92">
        <f t="shared" si="5"/>
        <v>7</v>
      </c>
      <c r="B8" s="92">
        <f>MAX('Curve-Mixed'!G18:G24)</f>
        <v>42</v>
      </c>
      <c r="C8" s="92">
        <f t="shared" si="0"/>
        <v>42</v>
      </c>
      <c r="D8" s="92">
        <f t="shared" si="6"/>
        <v>4</v>
      </c>
      <c r="E8" s="29">
        <f>IFERROR(VLOOKUP(C8,'Curve-Mixed'!$G$2:$R$185,12,FALSE),"")</f>
        <v>27.597701230847786</v>
      </c>
      <c r="F8" s="29">
        <f>IFERROR(IF(E9="",E8+(MAX('Кормовой бюджет'!$C$24:$J$24)-E8),E8),"")</f>
        <v>27.597701230847786</v>
      </c>
      <c r="G8" s="31">
        <f>IF(E8="","",SUM('Curve-Mixed'!Q18:Q24))</f>
        <v>9.6344596750388014</v>
      </c>
      <c r="H8" s="31">
        <f t="shared" si="7"/>
        <v>1.3763513821484001</v>
      </c>
      <c r="I8" s="122">
        <f t="shared" si="1"/>
        <v>0.98430667277778183</v>
      </c>
      <c r="J8" s="122">
        <f t="shared" si="8"/>
        <v>1.3982952876507897</v>
      </c>
      <c r="K8" s="122">
        <f t="shared" si="9"/>
        <v>0.68428407141691105</v>
      </c>
      <c r="L8" s="31">
        <f>IF(G8="","",SUM($G$5:$G8))</f>
        <v>18.920460134449563</v>
      </c>
      <c r="M8" s="122">
        <f t="shared" si="10"/>
        <v>1.3166670535689158</v>
      </c>
      <c r="N8" s="184"/>
      <c r="O8" s="92">
        <f t="shared" si="11"/>
        <v>7</v>
      </c>
      <c r="P8" s="92">
        <f>MAX('Curve-Barrows'!G18:G24)</f>
        <v>42</v>
      </c>
      <c r="Q8" s="92">
        <f t="shared" si="2"/>
        <v>42</v>
      </c>
      <c r="R8" s="92">
        <f t="shared" si="12"/>
        <v>4</v>
      </c>
      <c r="S8" s="29">
        <f>IFERROR(VLOOKUP(Q8,'Curve-Barrows'!$G$2:$R$185,12,FALSE),"")</f>
        <v>27.40190136179644</v>
      </c>
      <c r="T8" s="29">
        <f>IFERROR(IF(S9="",S8+(MAX('Кормовой бюджет'!$C$38:$J$38)-S8),S8),"")</f>
        <v>27.40190136179644</v>
      </c>
      <c r="U8" s="31">
        <f>IF(S8="","",SUM('Curve-Barrows'!Q18:Q24))</f>
        <v>9.5881087428635805</v>
      </c>
      <c r="V8" s="31">
        <f t="shared" si="13"/>
        <v>1.3697298204090829</v>
      </c>
      <c r="W8" s="122">
        <f t="shared" ref="W8:W29" si="22">IF(S8="","",(S8-S7)/(Q8-Q7))</f>
        <v>0.97957121968872585</v>
      </c>
      <c r="X8" s="122">
        <f t="shared" si="14"/>
        <v>1.3982952876507908</v>
      </c>
      <c r="Y8" s="122">
        <f t="shared" si="15"/>
        <v>0.68099201294631451</v>
      </c>
      <c r="Z8" s="31">
        <f>IF(U8="","",SUM($U$5:$U8))</f>
        <v>18.829434690989775</v>
      </c>
      <c r="AA8" s="122">
        <f t="shared" si="16"/>
        <v>1.3166670535689162</v>
      </c>
      <c r="AB8" s="184"/>
      <c r="AC8" s="92">
        <f t="shared" si="17"/>
        <v>7</v>
      </c>
      <c r="AD8" s="92">
        <f>MAX('Curve-Gilts'!G18:G24)</f>
        <v>42</v>
      </c>
      <c r="AE8" s="92">
        <f t="shared" si="3"/>
        <v>42</v>
      </c>
      <c r="AF8" s="92">
        <f t="shared" si="18"/>
        <v>4</v>
      </c>
      <c r="AG8" s="29">
        <f>IFERROR(VLOOKUP(AE8,'Curve-Gilts'!$G$2:$R$185,12,FALSE),"")</f>
        <v>27.794725766212608</v>
      </c>
      <c r="AH8" s="29">
        <f>IFERROR(IF(AG9="",AG8+(MAX('Кормовой бюджет'!$C$43:$J$43)-AG8),AG8),"")</f>
        <v>27.794725766212608</v>
      </c>
      <c r="AI8" s="31">
        <f>IF(AG8="","",SUM('Curve-Gilts'!Q18:Q24))</f>
        <v>9.6808106072140205</v>
      </c>
      <c r="AJ8" s="31">
        <f t="shared" si="19"/>
        <v>1.3829729438877172</v>
      </c>
      <c r="AK8" s="122">
        <f>IF(AG8="","",(AG8-AG7)/(AE8-AE7))</f>
        <v>0.98904212586683671</v>
      </c>
      <c r="AL8" s="122">
        <f t="shared" si="20"/>
        <v>1.3982952876507899</v>
      </c>
      <c r="AM8" s="122">
        <f t="shared" si="21"/>
        <v>0.68757612988750738</v>
      </c>
      <c r="AN8" s="31">
        <f>IF(AI8="","",SUM($AI$5:$AI8))</f>
        <v>19.011485577909355</v>
      </c>
      <c r="AO8" s="122">
        <f t="shared" si="4"/>
        <v>1.3166670535689158</v>
      </c>
    </row>
    <row r="9" spans="1:41" x14ac:dyDescent="0.25">
      <c r="A9" s="92">
        <f t="shared" si="5"/>
        <v>7</v>
      </c>
      <c r="B9" s="92">
        <f>MAX('Curve-Mixed'!G25:G31)</f>
        <v>49</v>
      </c>
      <c r="C9" s="92">
        <f t="shared" si="0"/>
        <v>49</v>
      </c>
      <c r="D9" s="92">
        <f t="shared" si="6"/>
        <v>5</v>
      </c>
      <c r="E9" s="29">
        <f>IFERROR(VLOOKUP(C9,'Curve-Mixed'!$G$2:$R$185,12,FALSE),"")</f>
        <v>35.908351196984356</v>
      </c>
      <c r="F9" s="29">
        <f>IFERROR(IF(E10="",E9+(MAX('Кормовой бюджет'!$C$24:$J$24)-E9),E9),"")</f>
        <v>35.908351196984356</v>
      </c>
      <c r="G9" s="31">
        <f>IF(E9="","",SUM('Curve-Mixed'!Q25:Q31))</f>
        <v>12.504962042224975</v>
      </c>
      <c r="H9" s="31">
        <f t="shared" si="7"/>
        <v>1.7864231488892821</v>
      </c>
      <c r="I9" s="122">
        <f t="shared" si="1"/>
        <v>1.1872357094480814</v>
      </c>
      <c r="J9" s="122">
        <f t="shared" si="8"/>
        <v>1.50469122068418</v>
      </c>
      <c r="K9" s="122">
        <f t="shared" si="9"/>
        <v>0.81002198092470368</v>
      </c>
      <c r="L9" s="31">
        <f>IF(G9="","",SUM($G$5:$G9))</f>
        <v>31.425422176674537</v>
      </c>
      <c r="M9" s="122">
        <f t="shared" si="10"/>
        <v>1.3855630251275031</v>
      </c>
      <c r="N9" s="184"/>
      <c r="O9" s="92">
        <f t="shared" si="11"/>
        <v>7</v>
      </c>
      <c r="P9" s="92">
        <f>MAX('Curve-Barrows'!G25:G31)</f>
        <v>49</v>
      </c>
      <c r="Q9" s="92">
        <f t="shared" si="2"/>
        <v>49</v>
      </c>
      <c r="R9" s="92">
        <f t="shared" si="12"/>
        <v>5</v>
      </c>
      <c r="S9" s="29">
        <f>IFERROR(VLOOKUP(Q9,'Curve-Barrows'!$G$2:$R$185,12,FALSE),"")</f>
        <v>35.672569181979298</v>
      </c>
      <c r="T9" s="29">
        <f>IFERROR(IF(S10="",S9+(MAX('Кормовой бюджет'!$C$38:$J$38)-S9),S9),"")</f>
        <v>35.672569181979298</v>
      </c>
      <c r="U9" s="31">
        <f>IF(S9="","",SUM('Curve-Barrows'!Q25:Q31))</f>
        <v>12.444801258224331</v>
      </c>
      <c r="V9" s="31">
        <f t="shared" si="13"/>
        <v>1.7778287511749045</v>
      </c>
      <c r="W9" s="122">
        <f t="shared" si="22"/>
        <v>1.1815239743118369</v>
      </c>
      <c r="X9" s="122">
        <f t="shared" si="14"/>
        <v>1.5046912206841825</v>
      </c>
      <c r="Y9" s="122">
        <f t="shared" si="15"/>
        <v>0.8061250032876951</v>
      </c>
      <c r="Z9" s="31">
        <f>IF(U9="","",SUM($U$5:$U9))</f>
        <v>31.274235949214106</v>
      </c>
      <c r="AA9" s="122">
        <f t="shared" si="16"/>
        <v>1.3855630251275042</v>
      </c>
      <c r="AB9" s="184"/>
      <c r="AC9" s="92">
        <f t="shared" si="17"/>
        <v>7</v>
      </c>
      <c r="AD9" s="92">
        <f>MAX('Curve-Gilts'!G25:G31)</f>
        <v>49</v>
      </c>
      <c r="AE9" s="92">
        <f t="shared" si="3"/>
        <v>49</v>
      </c>
      <c r="AF9" s="92">
        <f t="shared" si="18"/>
        <v>5</v>
      </c>
      <c r="AG9" s="29">
        <f>IFERROR(VLOOKUP(AE9,'Curve-Gilts'!$G$2:$R$185,12,FALSE),"")</f>
        <v>36.145357878302868</v>
      </c>
      <c r="AH9" s="29">
        <f>IFERROR(IF(AG10="",AG9+(MAX('Кормовой бюджет'!$C$43:$J$43)-AG9),AG9),"")</f>
        <v>36.145357878302868</v>
      </c>
      <c r="AI9" s="31">
        <f>IF(AG9="","",SUM('Curve-Gilts'!Q25:Q31))</f>
        <v>12.565122826225613</v>
      </c>
      <c r="AJ9" s="31">
        <f t="shared" si="19"/>
        <v>1.7950175466036591</v>
      </c>
      <c r="AK9" s="122">
        <f t="shared" ref="AK9:AK31" si="23">IF(AG9="","",(AG9-AG8)/(AE9-AE8))</f>
        <v>1.1929474445843229</v>
      </c>
      <c r="AL9" s="122">
        <f t="shared" si="20"/>
        <v>1.5046912206841809</v>
      </c>
      <c r="AM9" s="122">
        <f t="shared" si="21"/>
        <v>0.81391895856171126</v>
      </c>
      <c r="AN9" s="31">
        <f>IF(AI9="","",SUM($AI$5:$AI9))</f>
        <v>31.576608404134966</v>
      </c>
      <c r="AO9" s="122">
        <f t="shared" si="4"/>
        <v>1.3855630251275033</v>
      </c>
    </row>
    <row r="10" spans="1:41" x14ac:dyDescent="0.25">
      <c r="A10" s="92">
        <f t="shared" si="5"/>
        <v>7</v>
      </c>
      <c r="B10" s="92">
        <f>MAX('Curve-Mixed'!G32:G38)</f>
        <v>56</v>
      </c>
      <c r="C10" s="92">
        <f t="shared" si="0"/>
        <v>56</v>
      </c>
      <c r="D10" s="92">
        <f t="shared" si="6"/>
        <v>6</v>
      </c>
      <c r="E10" s="29">
        <f>IFERROR(VLOOKUP(C10,'Curve-Mixed'!$G$2:$R$185,12,FALSE),"")</f>
        <v>45.61247054995944</v>
      </c>
      <c r="F10" s="29">
        <f>IFERROR(IF(E11="",E10+(MAX('Кормовой бюджет'!$C$24:$J$24)-E10),E10),"")</f>
        <v>45.61247054995944</v>
      </c>
      <c r="G10" s="31">
        <f>IF(E10="","",SUM('Curve-Mixed'!Q32:Q38))</f>
        <v>15.558979350824753</v>
      </c>
      <c r="H10" s="31">
        <f t="shared" si="7"/>
        <v>2.2227113358321078</v>
      </c>
      <c r="I10" s="122">
        <f t="shared" si="1"/>
        <v>1.3863027647107262</v>
      </c>
      <c r="J10" s="122">
        <f t="shared" si="8"/>
        <v>1.6033375914790962</v>
      </c>
      <c r="K10" s="122">
        <f t="shared" si="9"/>
        <v>0.92527813768190825</v>
      </c>
      <c r="L10" s="31">
        <f>IF(G10="","",SUM($G$5:$G10))</f>
        <v>46.984401527499287</v>
      </c>
      <c r="M10" s="122">
        <f t="shared" si="10"/>
        <v>1.4508193996427905</v>
      </c>
      <c r="N10" s="184"/>
      <c r="O10" s="92">
        <f t="shared" si="11"/>
        <v>7</v>
      </c>
      <c r="P10" s="92">
        <f>MAX('Curve-Barrows'!G32:G38)</f>
        <v>56</v>
      </c>
      <c r="Q10" s="92">
        <f t="shared" si="2"/>
        <v>56</v>
      </c>
      <c r="R10" s="92">
        <f t="shared" si="12"/>
        <v>6</v>
      </c>
      <c r="S10" s="29">
        <f>IFERROR(VLOOKUP(Q10,'Curve-Barrows'!$G$2:$R$185,12,FALSE),"")</f>
        <v>45.330002473346248</v>
      </c>
      <c r="T10" s="29">
        <f>IFERROR(IF(S11="",S10+(MAX('Кормовой бюджет'!$C$38:$J$38)-S10),S10),"")</f>
        <v>45.330002473346248</v>
      </c>
      <c r="U10" s="31">
        <f>IF(S10="","",SUM('Curve-Barrows'!Q32:Q38))</f>
        <v>15.484125833250314</v>
      </c>
      <c r="V10" s="31">
        <f t="shared" si="13"/>
        <v>2.2120179761786161</v>
      </c>
      <c r="W10" s="122">
        <f>IF(S10="","",(S10-S9)/(Q10-Q9))</f>
        <v>1.3796333273381356</v>
      </c>
      <c r="X10" s="122">
        <f t="shared" si="14"/>
        <v>1.6033375914790948</v>
      </c>
      <c r="Y10" s="122">
        <f t="shared" si="15"/>
        <v>0.92082666809778324</v>
      </c>
      <c r="Z10" s="31">
        <f>IF(U10="","",SUM($U$5:$U10))</f>
        <v>46.758361782464419</v>
      </c>
      <c r="AA10" s="122">
        <f t="shared" si="16"/>
        <v>1.4508193996427912</v>
      </c>
      <c r="AB10" s="184"/>
      <c r="AC10" s="92">
        <f t="shared" si="17"/>
        <v>7</v>
      </c>
      <c r="AD10" s="92">
        <f>MAX('Curve-Gilts'!G32:G38)</f>
        <v>56</v>
      </c>
      <c r="AE10" s="92">
        <f t="shared" si="3"/>
        <v>56</v>
      </c>
      <c r="AF10" s="92">
        <f t="shared" si="18"/>
        <v>6</v>
      </c>
      <c r="AG10" s="29">
        <f>IFERROR(VLOOKUP(AE10,'Curve-Gilts'!$G$2:$R$185,12,FALSE),"")</f>
        <v>45.896163292886094</v>
      </c>
      <c r="AH10" s="29">
        <f>IFERROR(IF(AG11="",AG10+(MAX('Кормовой бюджет'!$C$43:$J$43)-AG10),AG10),"")</f>
        <v>45.896163292886094</v>
      </c>
      <c r="AI10" s="31">
        <f>IF(AG10="","",SUM('Curve-Gilts'!Q32:Q38))</f>
        <v>15.633832868399189</v>
      </c>
      <c r="AJ10" s="31">
        <f t="shared" si="19"/>
        <v>2.2334046954855986</v>
      </c>
      <c r="AK10" s="122">
        <f t="shared" si="23"/>
        <v>1.392972202083318</v>
      </c>
      <c r="AL10" s="122">
        <f t="shared" si="20"/>
        <v>1.6033375914790953</v>
      </c>
      <c r="AM10" s="122">
        <f t="shared" si="21"/>
        <v>0.9297296072660326</v>
      </c>
      <c r="AN10" s="31">
        <f>IF(AI10="","",SUM($AI$5:$AI10))</f>
        <v>47.210441272534155</v>
      </c>
      <c r="AO10" s="122">
        <f t="shared" si="4"/>
        <v>1.4508193996427909</v>
      </c>
    </row>
    <row r="11" spans="1:41" x14ac:dyDescent="0.25">
      <c r="A11" s="92">
        <f t="shared" si="5"/>
        <v>7</v>
      </c>
      <c r="B11" s="92">
        <f>MAX('Curve-Mixed'!G39:G45)</f>
        <v>63</v>
      </c>
      <c r="C11" s="92">
        <f t="shared" si="0"/>
        <v>63</v>
      </c>
      <c r="D11" s="92">
        <f t="shared" si="6"/>
        <v>7</v>
      </c>
      <c r="E11" s="29">
        <f>IFERROR(VLOOKUP(C11,'Curve-Mixed'!$G$2:$R$185,12,FALSE),"")</f>
        <v>56.912767178361044</v>
      </c>
      <c r="F11" s="29">
        <f>IFERROR(IF(E12="",E11+(MAX('Кормовой бюджет'!$C$24:$J$24)-E11),E11),"")</f>
        <v>56.912767178361044</v>
      </c>
      <c r="G11" s="31">
        <f>IF(E11="","",SUM('Curve-Mixed'!Q39:Q45))</f>
        <v>19.305390491241731</v>
      </c>
      <c r="H11" s="31">
        <f t="shared" si="7"/>
        <v>2.7579129273202474</v>
      </c>
      <c r="I11" s="122">
        <f t="shared" si="1"/>
        <v>1.6143280897716576</v>
      </c>
      <c r="J11" s="122">
        <f t="shared" si="8"/>
        <v>1.7083967904630506</v>
      </c>
      <c r="K11" s="122">
        <f t="shared" si="9"/>
        <v>1.0401197963635329</v>
      </c>
      <c r="L11" s="31">
        <f>IF(G11="","",SUM($G$5:$G11))</f>
        <v>66.289792018741025</v>
      </c>
      <c r="M11" s="122">
        <f t="shared" si="10"/>
        <v>1.5174486505465505</v>
      </c>
      <c r="N11" s="184"/>
      <c r="O11" s="92">
        <f t="shared" si="11"/>
        <v>7</v>
      </c>
      <c r="P11" s="92">
        <f>MAX('Curve-Barrows'!G39:G45)</f>
        <v>63</v>
      </c>
      <c r="Q11" s="92">
        <f t="shared" si="2"/>
        <v>63</v>
      </c>
      <c r="R11" s="92">
        <f t="shared" si="12"/>
        <v>7</v>
      </c>
      <c r="S11" s="29">
        <f>IFERROR(VLOOKUP(Q11,'Curve-Barrows'!$G$2:$R$185,12,FALSE),"")</f>
        <v>56.735810230252405</v>
      </c>
      <c r="T11" s="29">
        <f>IFERROR(IF(S12="",S11+(MAX('Кормовой бюджет'!$C$38:$J$38)-S11),S11),"")</f>
        <v>56.735810230252405</v>
      </c>
      <c r="U11" s="31">
        <f>IF(S11="","",SUM('Curve-Barrows'!Q39:Q45))</f>
        <v>19.492299464126706</v>
      </c>
      <c r="V11" s="31">
        <f t="shared" si="13"/>
        <v>2.7846142091609578</v>
      </c>
      <c r="W11" s="122">
        <f t="shared" si="22"/>
        <v>1.629401108129451</v>
      </c>
      <c r="X11" s="122">
        <f t="shared" si="14"/>
        <v>1.7089801861971783</v>
      </c>
      <c r="Y11" s="122">
        <f t="shared" si="15"/>
        <v>1.0389224081030612</v>
      </c>
      <c r="Z11" s="31">
        <f>IF(U11="","",SUM($U$5:$U11))</f>
        <v>66.250661246591122</v>
      </c>
      <c r="AA11" s="122">
        <f t="shared" si="16"/>
        <v>1.5183007739986389</v>
      </c>
      <c r="AB11" s="184"/>
      <c r="AC11" s="92">
        <f t="shared" si="17"/>
        <v>7</v>
      </c>
      <c r="AD11" s="92">
        <f>MAX('Curve-Gilts'!G39:G45)</f>
        <v>63</v>
      </c>
      <c r="AE11" s="92">
        <f t="shared" si="3"/>
        <v>63</v>
      </c>
      <c r="AF11" s="92">
        <f t="shared" si="18"/>
        <v>7</v>
      </c>
      <c r="AG11" s="29">
        <f>IFERROR(VLOOKUP(AE11,'Curve-Gilts'!$G$2:$R$185,12,FALSE),"")</f>
        <v>57.090948792783109</v>
      </c>
      <c r="AH11" s="29">
        <f>IFERROR(IF(AG12="",AG11+(MAX('Кормовой бюджет'!$C$43:$J$43)-AG11),AG11),"")</f>
        <v>57.090948792783109</v>
      </c>
      <c r="AI11" s="31">
        <f>IF(AG11="","",SUM('Curve-Gilts'!Q39:Q45))</f>
        <v>19.118481518356756</v>
      </c>
      <c r="AJ11" s="31">
        <f t="shared" si="19"/>
        <v>2.7312116454795365</v>
      </c>
      <c r="AK11" s="122">
        <f t="shared" si="23"/>
        <v>1.5992550714138594</v>
      </c>
      <c r="AL11" s="122">
        <f t="shared" si="20"/>
        <v>1.70780239769066</v>
      </c>
      <c r="AM11" s="122">
        <f t="shared" si="21"/>
        <v>1.0413171846240037</v>
      </c>
      <c r="AN11" s="31">
        <f>IF(AI11="","",SUM($AI$5:$AI11))</f>
        <v>66.328922790890914</v>
      </c>
      <c r="AO11" s="122">
        <f t="shared" si="4"/>
        <v>1.5165984867713664</v>
      </c>
    </row>
    <row r="12" spans="1:41" x14ac:dyDescent="0.25">
      <c r="A12" s="92">
        <f t="shared" si="5"/>
        <v>7</v>
      </c>
      <c r="B12" s="92">
        <f>MAX('Curve-Mixed'!G46:G52)</f>
        <v>70</v>
      </c>
      <c r="C12" s="92">
        <f t="shared" si="0"/>
        <v>70</v>
      </c>
      <c r="D12" s="92">
        <f t="shared" si="6"/>
        <v>8</v>
      </c>
      <c r="E12" s="29">
        <f>IFERROR(VLOOKUP(C12,'Curve-Mixed'!$G$2:$R$185,12,FALSE),"")</f>
        <v>69.456394927521714</v>
      </c>
      <c r="F12" s="29">
        <f>IFERROR(IF(E13="",E12+(MAX('Кормовой бюджет'!$C$24:$J$24)-E12),E12),"")</f>
        <v>69.456394927521714</v>
      </c>
      <c r="G12" s="31">
        <f>IF(E12="","",SUM('Curve-Mixed'!Q46:Q52))</f>
        <v>23.362070304371969</v>
      </c>
      <c r="H12" s="31">
        <f t="shared" si="7"/>
        <v>3.337438614910281</v>
      </c>
      <c r="I12" s="122">
        <f t="shared" si="1"/>
        <v>1.7919468213086671</v>
      </c>
      <c r="J12" s="122">
        <f t="shared" si="8"/>
        <v>1.8624652111455708</v>
      </c>
      <c r="K12" s="122">
        <f t="shared" si="9"/>
        <v>1.1475236570699809</v>
      </c>
      <c r="L12" s="31">
        <f>IF(G12="","",SUM($G$5:$G12))</f>
        <v>89.651862323112994</v>
      </c>
      <c r="M12" s="122">
        <f t="shared" si="10"/>
        <v>1.5944157944425348</v>
      </c>
      <c r="N12" s="184"/>
      <c r="O12" s="92">
        <f t="shared" si="11"/>
        <v>7</v>
      </c>
      <c r="P12" s="92">
        <f>MAX('Curve-Barrows'!G46:G52)</f>
        <v>70</v>
      </c>
      <c r="Q12" s="92">
        <f t="shared" si="2"/>
        <v>70</v>
      </c>
      <c r="R12" s="92">
        <f t="shared" si="12"/>
        <v>8</v>
      </c>
      <c r="S12" s="29">
        <f>IFERROR(VLOOKUP(Q12,'Curve-Barrows'!$G$2:$R$185,12,FALSE),"")</f>
        <v>69.669926862371398</v>
      </c>
      <c r="T12" s="29">
        <f>IFERROR(IF(S13="",S12+(MAX('Кормовой бюджет'!$C$38:$J$38)-S12),S12),"")</f>
        <v>69.669926862371398</v>
      </c>
      <c r="U12" s="31">
        <f>IF(S12="","",SUM('Curve-Barrows'!Q46:Q52))</f>
        <v>24.090212012495893</v>
      </c>
      <c r="V12" s="31">
        <f t="shared" si="13"/>
        <v>3.4414588589279846</v>
      </c>
      <c r="W12" s="122">
        <f t="shared" si="22"/>
        <v>1.8477309474455705</v>
      </c>
      <c r="X12" s="122">
        <f t="shared" si="14"/>
        <v>1.862532455650912</v>
      </c>
      <c r="Y12" s="122">
        <f t="shared" si="15"/>
        <v>1.154466485151991</v>
      </c>
      <c r="Z12" s="31">
        <f>IF(U12="","",SUM($U$5:$U12))</f>
        <v>90.340873259087019</v>
      </c>
      <c r="AA12" s="122">
        <f t="shared" si="16"/>
        <v>1.5970072017803489</v>
      </c>
      <c r="AB12" s="184"/>
      <c r="AC12" s="92">
        <f t="shared" si="17"/>
        <v>7</v>
      </c>
      <c r="AD12" s="92">
        <f>MAX('Curve-Gilts'!G46:G52)</f>
        <v>70</v>
      </c>
      <c r="AE12" s="92">
        <f t="shared" si="3"/>
        <v>70</v>
      </c>
      <c r="AF12" s="92">
        <f t="shared" si="18"/>
        <v>8</v>
      </c>
      <c r="AG12" s="29">
        <f>IFERROR(VLOOKUP(AE12,'Curve-Gilts'!$G$2:$R$185,12,FALSE),"")</f>
        <v>69.24408765898545</v>
      </c>
      <c r="AH12" s="29">
        <f>IFERROR(IF(AG13="",AG12+(MAX('Кормовой бюджет'!$C$43:$J$43)-AG12),AG12),"")</f>
        <v>69.24408765898545</v>
      </c>
      <c r="AI12" s="31">
        <f>IF(AG12="","",SUM('Curve-Gilts'!Q46:Q52))</f>
        <v>22.633928596248065</v>
      </c>
      <c r="AJ12" s="31">
        <f t="shared" si="19"/>
        <v>3.2334183708925806</v>
      </c>
      <c r="AK12" s="122">
        <f t="shared" si="23"/>
        <v>1.7361626951717628</v>
      </c>
      <c r="AL12" s="122">
        <f t="shared" si="20"/>
        <v>1.8623936454139112</v>
      </c>
      <c r="AM12" s="122">
        <f t="shared" si="21"/>
        <v>1.1405808289879693</v>
      </c>
      <c r="AN12" s="31">
        <f>IF(AI12="","",SUM($AI$5:$AI12))</f>
        <v>88.962851387138983</v>
      </c>
      <c r="AO12" s="122">
        <f t="shared" si="4"/>
        <v>1.5917928388002462</v>
      </c>
    </row>
    <row r="13" spans="1:41" x14ac:dyDescent="0.25">
      <c r="A13" s="92">
        <f t="shared" si="5"/>
        <v>7</v>
      </c>
      <c r="B13" s="92">
        <f>MAX('Curve-Mixed'!G53:G59)</f>
        <v>77</v>
      </c>
      <c r="C13" s="92">
        <f t="shared" si="0"/>
        <v>77</v>
      </c>
      <c r="D13" s="92">
        <f t="shared" si="6"/>
        <v>9</v>
      </c>
      <c r="E13" s="29">
        <f>IFERROR(VLOOKUP(C13,'Curve-Mixed'!$G$2:$R$185,12,FALSE),"")</f>
        <v>82.993511298879639</v>
      </c>
      <c r="F13" s="29">
        <f>IFERROR(IF(E14="",E13+(MAX('Кормовой бюджет'!$C$24:$J$24)-E13),E13),"")</f>
        <v>82.993511298879639</v>
      </c>
      <c r="G13" s="31">
        <f>IF(E13="","",SUM('Curve-Mixed'!Q53:Q59))</f>
        <v>27.246100478515395</v>
      </c>
      <c r="H13" s="31">
        <f t="shared" si="7"/>
        <v>3.8923000683593423</v>
      </c>
      <c r="I13" s="122">
        <f t="shared" si="1"/>
        <v>1.9338737673368465</v>
      </c>
      <c r="J13" s="122">
        <f t="shared" si="8"/>
        <v>2.0126960374044791</v>
      </c>
      <c r="K13" s="122">
        <f t="shared" si="9"/>
        <v>1.245817420853339</v>
      </c>
      <c r="L13" s="31">
        <f>IF(G13="","",SUM($G$5:$G13))</f>
        <v>116.89796280162838</v>
      </c>
      <c r="M13" s="122">
        <f t="shared" si="10"/>
        <v>1.6755774855257795</v>
      </c>
      <c r="N13" s="184"/>
      <c r="O13" s="92">
        <f t="shared" si="11"/>
        <v>7</v>
      </c>
      <c r="P13" s="92">
        <f>MAX('Curve-Barrows'!G53:G59)</f>
        <v>77</v>
      </c>
      <c r="Q13" s="92">
        <f t="shared" si="2"/>
        <v>77</v>
      </c>
      <c r="R13" s="92">
        <f t="shared" si="12"/>
        <v>9</v>
      </c>
      <c r="S13" s="29">
        <f>IFERROR(VLOOKUP(Q13,'Curve-Barrows'!$G$2:$R$185,12,FALSE),"")</f>
        <v>83.694901787230222</v>
      </c>
      <c r="T13" s="29">
        <f>IFERROR(IF(S14="",S13+(MAX('Кормовой бюджет'!$C$38:$J$38)-S13),S13),"")</f>
        <v>83.694901787230222</v>
      </c>
      <c r="U13" s="31">
        <f>IF(S13="","",SUM('Curve-Barrows'!Q53:Q59))</f>
        <v>28.228714534184899</v>
      </c>
      <c r="V13" s="31">
        <f t="shared" si="13"/>
        <v>4.0326735048835571</v>
      </c>
      <c r="W13" s="122">
        <f t="shared" si="22"/>
        <v>2.0035678464084037</v>
      </c>
      <c r="X13" s="122">
        <f t="shared" si="14"/>
        <v>2.0127461678487846</v>
      </c>
      <c r="Y13" s="122">
        <f t="shared" si="15"/>
        <v>1.2606041553090426</v>
      </c>
      <c r="Z13" s="31">
        <f>IF(U13="","",SUM($U$5:$U13))</f>
        <v>118.56958779327192</v>
      </c>
      <c r="AA13" s="122">
        <f t="shared" si="16"/>
        <v>1.6796026403847051</v>
      </c>
      <c r="AB13" s="184"/>
      <c r="AC13" s="92">
        <f t="shared" si="17"/>
        <v>7</v>
      </c>
      <c r="AD13" s="92">
        <f>MAX('Curve-Gilts'!G53:G59)</f>
        <v>77</v>
      </c>
      <c r="AE13" s="92">
        <f t="shared" si="3"/>
        <v>77</v>
      </c>
      <c r="AF13" s="92">
        <f t="shared" si="18"/>
        <v>9</v>
      </c>
      <c r="AG13" s="29">
        <f>IFERROR(VLOOKUP(AE13,'Curve-Gilts'!$G$2:$R$185,12,FALSE),"")</f>
        <v>82.293345476842418</v>
      </c>
      <c r="AH13" s="29">
        <f>IFERROR(IF(AG14="",AG13+(MAX('Кормовой бюджет'!$C$43:$J$43)-AG13),AG13),"")</f>
        <v>82.293345476842418</v>
      </c>
      <c r="AI13" s="31">
        <f>IF(AG13="","",SUM('Curve-Gilts'!Q53:Q59))</f>
        <v>26.263486422845855</v>
      </c>
      <c r="AJ13" s="31">
        <f t="shared" si="19"/>
        <v>3.7519266318351221</v>
      </c>
      <c r="AK13" s="122">
        <f t="shared" si="23"/>
        <v>1.8641796882652812</v>
      </c>
      <c r="AL13" s="122">
        <f t="shared" si="20"/>
        <v>2.0126421586142751</v>
      </c>
      <c r="AM13" s="122">
        <f t="shared" si="21"/>
        <v>1.2310306863976332</v>
      </c>
      <c r="AN13" s="31">
        <f>IF(AI13="","",SUM($AI$5:$AI13))</f>
        <v>115.22633780998484</v>
      </c>
      <c r="AO13" s="122">
        <f t="shared" si="4"/>
        <v>1.6714556330025345</v>
      </c>
    </row>
    <row r="14" spans="1:41" x14ac:dyDescent="0.25">
      <c r="A14" s="92">
        <f t="shared" si="5"/>
        <v>7</v>
      </c>
      <c r="B14" s="92">
        <f>MAX('Curve-Mixed'!G60:G66)</f>
        <v>84</v>
      </c>
      <c r="C14" s="92">
        <f t="shared" si="0"/>
        <v>84</v>
      </c>
      <c r="D14" s="92">
        <f t="shared" si="6"/>
        <v>10</v>
      </c>
      <c r="E14" s="29">
        <f>IFERROR(VLOOKUP(C14,'Curve-Mixed'!$G$2:$R$185,12,FALSE),"")</f>
        <v>97.397896886675895</v>
      </c>
      <c r="F14" s="29">
        <f>IFERROR(IF(E15="",E14+(MAX('Кормовой бюджет'!$C$24:$J$24)-E14),E14),"")</f>
        <v>97.397896886675895</v>
      </c>
      <c r="G14" s="31">
        <f>IF(E14="","",SUM('Curve-Mixed'!Q60:Q66))</f>
        <v>31.019047839890451</v>
      </c>
      <c r="H14" s="31">
        <f t="shared" si="7"/>
        <v>4.4312925485557786</v>
      </c>
      <c r="I14" s="122">
        <f t="shared" si="1"/>
        <v>2.0577693696851793</v>
      </c>
      <c r="J14" s="122">
        <f t="shared" si="8"/>
        <v>2.15344470271405</v>
      </c>
      <c r="K14" s="122">
        <f t="shared" si="9"/>
        <v>1.336034304056877</v>
      </c>
      <c r="L14" s="31">
        <f>IF(G14="","",SUM($G$5:$G14))</f>
        <v>147.91701064151883</v>
      </c>
      <c r="M14" s="122">
        <f t="shared" si="10"/>
        <v>1.7573568662664616</v>
      </c>
      <c r="N14" s="184"/>
      <c r="O14" s="92">
        <f t="shared" si="11"/>
        <v>7</v>
      </c>
      <c r="P14" s="92">
        <f>MAX('Curve-Barrows'!G60:G66)</f>
        <v>84</v>
      </c>
      <c r="Q14" s="92">
        <f t="shared" si="2"/>
        <v>84</v>
      </c>
      <c r="R14" s="92">
        <f t="shared" si="12"/>
        <v>10</v>
      </c>
      <c r="S14" s="29">
        <f>IFERROR(VLOOKUP(Q14,'Curve-Barrows'!$G$2:$R$185,12,FALSE),"")</f>
        <v>98.67374427558228</v>
      </c>
      <c r="T14" s="29">
        <f>IFERROR(IF(S15="",S14+(MAX('Кормовой бюджет'!$C$38:$J$38)-S14),S14),"")</f>
        <v>98.67374427558228</v>
      </c>
      <c r="U14" s="31">
        <f>IF(S14="","",SUM('Curve-Barrows'!Q60:Q66))</f>
        <v>32.247410611460779</v>
      </c>
      <c r="V14" s="31">
        <f t="shared" si="13"/>
        <v>4.6067729444943968</v>
      </c>
      <c r="W14" s="122">
        <f t="shared" si="22"/>
        <v>2.139834641193151</v>
      </c>
      <c r="X14" s="122">
        <f t="shared" si="14"/>
        <v>2.1528639904276456</v>
      </c>
      <c r="Y14" s="122">
        <f t="shared" si="15"/>
        <v>1.3582964315183879</v>
      </c>
      <c r="Z14" s="31">
        <f>IF(U14="","",SUM($U$5:$U14))</f>
        <v>150.81699840473271</v>
      </c>
      <c r="AA14" s="122">
        <f t="shared" si="16"/>
        <v>1.7624434210747792</v>
      </c>
      <c r="AB14" s="184"/>
      <c r="AC14" s="92">
        <f t="shared" si="17"/>
        <v>7</v>
      </c>
      <c r="AD14" s="92">
        <f>MAX('Curve-Gilts'!G60:G66)</f>
        <v>84</v>
      </c>
      <c r="AE14" s="92">
        <f t="shared" si="3"/>
        <v>84</v>
      </c>
      <c r="AF14" s="92">
        <f t="shared" si="18"/>
        <v>10</v>
      </c>
      <c r="AG14" s="29">
        <f>IFERROR(VLOOKUP(AE14,'Curve-Gilts'!$G$2:$R$185,12,FALSE),"")</f>
        <v>96.123274164082886</v>
      </c>
      <c r="AH14" s="29">
        <f>IFERROR(IF(AG15="",AG14+(MAX('Кормовой бюджет'!$C$43:$J$43)-AG14),AG14),"")</f>
        <v>96.123274164082886</v>
      </c>
      <c r="AI14" s="31">
        <f>IF(AG14="","",SUM('Curve-Gilts'!Q60:Q66))</f>
        <v>29.781451374636909</v>
      </c>
      <c r="AJ14" s="31">
        <f t="shared" si="19"/>
        <v>4.2544930535195586</v>
      </c>
      <c r="AK14" s="122">
        <f t="shared" si="23"/>
        <v>1.9757040981772096</v>
      </c>
      <c r="AL14" s="122">
        <f t="shared" si="20"/>
        <v>2.153405997104914</v>
      </c>
      <c r="AM14" s="122">
        <f t="shared" si="21"/>
        <v>1.313772176595364</v>
      </c>
      <c r="AN14" s="31">
        <f>IF(AI14="","",SUM($AI$5:$AI14))</f>
        <v>145.00778918462174</v>
      </c>
      <c r="AO14" s="122">
        <f t="shared" si="4"/>
        <v>1.7519863644877274</v>
      </c>
    </row>
    <row r="15" spans="1:41" x14ac:dyDescent="0.25">
      <c r="A15" s="92">
        <f t="shared" si="5"/>
        <v>7</v>
      </c>
      <c r="B15" s="92">
        <f>MAX('Curve-Mixed'!G67:G73)</f>
        <v>91</v>
      </c>
      <c r="C15" s="92">
        <f t="shared" si="0"/>
        <v>91</v>
      </c>
      <c r="D15" s="92">
        <f t="shared" si="6"/>
        <v>11</v>
      </c>
      <c r="E15" s="29">
        <f>IFERROR(VLOOKUP(C15,'Curve-Mixed'!$G$2:$R$185,12,FALSE),"")</f>
        <v>112.53922625493321</v>
      </c>
      <c r="F15" s="29">
        <f>IFERROR(IF(E16="",E15+(MAX('Кормовой бюджет'!$C$24:$J$24)-E15),E15),"")</f>
        <v>112.53922625493321</v>
      </c>
      <c r="G15" s="31">
        <f>IF(E15="","",SUM('Curve-Mixed'!Q67:Q73))</f>
        <v>34.579635547121526</v>
      </c>
      <c r="H15" s="31">
        <f t="shared" si="7"/>
        <v>4.9399479353030751</v>
      </c>
      <c r="I15" s="122">
        <f t="shared" si="1"/>
        <v>2.1630470526081882</v>
      </c>
      <c r="J15" s="122">
        <f t="shared" si="8"/>
        <v>2.2837912514878109</v>
      </c>
      <c r="K15" s="122">
        <f t="shared" si="9"/>
        <v>1.418735578912008</v>
      </c>
      <c r="L15" s="31">
        <f>IF(G15="","",SUM($G$5:$G15))</f>
        <v>182.49664618864034</v>
      </c>
      <c r="M15" s="122">
        <f t="shared" si="10"/>
        <v>1.8376186403609609</v>
      </c>
      <c r="N15" s="184"/>
      <c r="O15" s="92">
        <f t="shared" si="11"/>
        <v>7</v>
      </c>
      <c r="P15" s="92">
        <f>MAX('Curve-Barrows'!G67:G73)</f>
        <v>91</v>
      </c>
      <c r="Q15" s="92">
        <f t="shared" si="2"/>
        <v>91</v>
      </c>
      <c r="R15" s="92">
        <f t="shared" si="12"/>
        <v>11</v>
      </c>
      <c r="S15" s="29">
        <f>IFERROR(VLOOKUP(Q15,'Curve-Barrows'!$G$2:$R$185,12,FALSE),"")</f>
        <v>114.46269340480879</v>
      </c>
      <c r="T15" s="29">
        <f>IFERROR(IF(S16="",S15+(MAX('Кормовой бюджет'!$C$38:$J$38)-S15),S15),"")</f>
        <v>114.46269340480879</v>
      </c>
      <c r="U15" s="31">
        <f>IF(S15="","",SUM('Curve-Barrows'!Q67:Q73))</f>
        <v>36.343385886970836</v>
      </c>
      <c r="V15" s="31">
        <f t="shared" si="13"/>
        <v>5.1919122695672622</v>
      </c>
      <c r="W15" s="122">
        <f t="shared" si="22"/>
        <v>2.2555641613180728</v>
      </c>
      <c r="X15" s="122">
        <f t="shared" si="14"/>
        <v>2.3018242436221765</v>
      </c>
      <c r="Y15" s="122">
        <f t="shared" si="15"/>
        <v>1.4480232044983563</v>
      </c>
      <c r="Z15" s="31">
        <f>IF(U15="","",SUM($U$5:$U15))</f>
        <v>187.16038429170356</v>
      </c>
      <c r="AA15" s="122">
        <f t="shared" si="16"/>
        <v>1.84646196779839</v>
      </c>
      <c r="AB15" s="184"/>
      <c r="AC15" s="92">
        <f t="shared" si="17"/>
        <v>7</v>
      </c>
      <c r="AD15" s="92">
        <f>MAX('Curve-Gilts'!G67:G73)</f>
        <v>91</v>
      </c>
      <c r="AE15" s="92">
        <f t="shared" si="3"/>
        <v>91</v>
      </c>
      <c r="AF15" s="92">
        <f t="shared" si="18"/>
        <v>11</v>
      </c>
      <c r="AG15" s="29">
        <f>IFERROR(VLOOKUP(AE15,'Curve-Gilts'!$G$2:$R$185,12,FALSE),"")</f>
        <v>110.61698377137095</v>
      </c>
      <c r="AH15" s="29">
        <f>IFERROR(IF(AG16="",AG15+(MAX('Кормовой бюджет'!$C$43:$J$43)-AG15),AG15),"")</f>
        <v>110.61698377137095</v>
      </c>
      <c r="AI15" s="31">
        <f>IF(AG15="","",SUM('Curve-Gilts'!Q67:Q73))</f>
        <v>32.839425732851005</v>
      </c>
      <c r="AJ15" s="31">
        <f t="shared" si="19"/>
        <v>4.6913465332644293</v>
      </c>
      <c r="AK15" s="122">
        <f>IF(AG15="","",(AG15-AG14)/(AE15-AE14))</f>
        <v>2.0705299438982956</v>
      </c>
      <c r="AL15" s="122">
        <f t="shared" si="20"/>
        <v>2.2657709187396655</v>
      </c>
      <c r="AM15" s="122">
        <f t="shared" si="21"/>
        <v>1.3894479533256572</v>
      </c>
      <c r="AN15" s="31">
        <f>IF(AI15="","",SUM($AI$5:$AI15))</f>
        <v>177.84721491747274</v>
      </c>
      <c r="AO15" s="122">
        <f t="shared" si="4"/>
        <v>1.8285495996736763</v>
      </c>
    </row>
    <row r="16" spans="1:41" x14ac:dyDescent="0.25">
      <c r="A16" s="92">
        <f t="shared" si="5"/>
        <v>7</v>
      </c>
      <c r="B16" s="92">
        <f>MAX('Curve-Mixed'!G74:G80)</f>
        <v>98</v>
      </c>
      <c r="C16" s="92">
        <f t="shared" si="0"/>
        <v>98</v>
      </c>
      <c r="D16" s="92">
        <f t="shared" si="6"/>
        <v>12</v>
      </c>
      <c r="E16" s="29">
        <f>IFERROR(VLOOKUP(C16,'Curve-Mixed'!$G$2:$R$185,12,FALSE),"")</f>
        <v>128.28638667643142</v>
      </c>
      <c r="F16" s="29">
        <f>IFERROR(IF(E17="",E16+(MAX('Кормовой бюджет'!$C$24:$J$24)-E16),E16),"")</f>
        <v>128.28638667643142</v>
      </c>
      <c r="G16" s="31">
        <f>IF(E16="","",SUM('Curve-Mixed'!Q74:Q80))</f>
        <v>37.853750080230007</v>
      </c>
      <c r="H16" s="31">
        <f t="shared" si="7"/>
        <v>5.4076785828900009</v>
      </c>
      <c r="I16" s="122">
        <f t="shared" si="1"/>
        <v>2.2495943459283154</v>
      </c>
      <c r="J16" s="122">
        <f t="shared" si="8"/>
        <v>2.4038460945982125</v>
      </c>
      <c r="K16" s="122">
        <f t="shared" si="9"/>
        <v>1.4942681940953086</v>
      </c>
      <c r="L16" s="31">
        <f>IF(G16="","",SUM($G$5:$G16))</f>
        <v>220.35039626887036</v>
      </c>
      <c r="M16" s="122">
        <f t="shared" si="10"/>
        <v>1.9151136786190273</v>
      </c>
      <c r="N16" s="184"/>
      <c r="O16" s="92">
        <f t="shared" si="11"/>
        <v>7</v>
      </c>
      <c r="P16" s="92">
        <f>MAX('Curve-Barrows'!G74:G80)</f>
        <v>98</v>
      </c>
      <c r="Q16" s="92">
        <f t="shared" si="2"/>
        <v>98</v>
      </c>
      <c r="R16" s="92">
        <f t="shared" si="12"/>
        <v>12</v>
      </c>
      <c r="S16" s="29">
        <f>IFERROR(VLOOKUP(Q16,'Curve-Barrows'!$G$2:$R$185,12,FALSE),"")</f>
        <v>130.91546460219053</v>
      </c>
      <c r="T16" s="29">
        <f>IFERROR(IF(S17="",S16+(MAX('Кормовой бюджет'!$C$38:$J$38)-S16),S16),"")</f>
        <v>130.91546460219053</v>
      </c>
      <c r="U16" s="31">
        <f>IF(S16="","",SUM('Curve-Barrows'!Q74:Q80))</f>
        <v>40.385192785541534</v>
      </c>
      <c r="V16" s="31">
        <f t="shared" si="13"/>
        <v>5.7693132550773623</v>
      </c>
      <c r="W16" s="122">
        <f t="shared" si="22"/>
        <v>2.350395885340248</v>
      </c>
      <c r="X16" s="122">
        <f t="shared" si="14"/>
        <v>2.454613408345967</v>
      </c>
      <c r="Y16" s="122">
        <f t="shared" si="15"/>
        <v>1.530057084574892</v>
      </c>
      <c r="Z16" s="31">
        <f>IF(U16="","",SUM($U$5:$U16))</f>
        <v>227.5455770772451</v>
      </c>
      <c r="AA16" s="122">
        <f t="shared" si="16"/>
        <v>1.9313902693118121</v>
      </c>
      <c r="AB16" s="184"/>
      <c r="AC16" s="92">
        <f t="shared" si="17"/>
        <v>7</v>
      </c>
      <c r="AD16" s="92">
        <f>MAX('Curve-Gilts'!G74:G80)</f>
        <v>98</v>
      </c>
      <c r="AE16" s="92">
        <f t="shared" si="3"/>
        <v>98</v>
      </c>
      <c r="AF16" s="92">
        <f t="shared" si="18"/>
        <v>12</v>
      </c>
      <c r="AG16" s="29">
        <f>IFERROR(VLOOKUP(AE16,'Curve-Gilts'!$G$2:$R$185,12,FALSE),"")</f>
        <v>125.65853341698563</v>
      </c>
      <c r="AH16" s="29">
        <f>IFERROR(IF(AG17="",AG16+(MAX('Кормовой бюджет'!$C$43:$J$43)-AG16),AG16),"")</f>
        <v>125.65853341698563</v>
      </c>
      <c r="AI16" s="31">
        <f>IF(AG16="","",SUM('Curve-Gilts'!Q74:Q80))</f>
        <v>35.394046399250769</v>
      </c>
      <c r="AJ16" s="31">
        <f t="shared" si="19"/>
        <v>5.0562923427501101</v>
      </c>
      <c r="AK16" s="122">
        <f t="shared" si="23"/>
        <v>2.1487928065163828</v>
      </c>
      <c r="AL16" s="122">
        <f t="shared" si="20"/>
        <v>2.353085103140939</v>
      </c>
      <c r="AM16" s="122">
        <f t="shared" si="21"/>
        <v>1.4584793036157231</v>
      </c>
      <c r="AN16" s="31">
        <f>IF(AI16="","",SUM($AI$5:$AI16))</f>
        <v>213.24126131672352</v>
      </c>
      <c r="AO16" s="122">
        <f t="shared" ref="AO16:AO31" si="24">IF(AG16="","",AN16/(AM16*7*AF15))</f>
        <v>1.8988044761566154</v>
      </c>
    </row>
    <row r="17" spans="1:41" x14ac:dyDescent="0.25">
      <c r="A17" s="92">
        <f t="shared" si="5"/>
        <v>7</v>
      </c>
      <c r="B17" s="92">
        <f>MAX('Curve-Mixed'!G81:G87)</f>
        <v>105</v>
      </c>
      <c r="C17" s="92">
        <f t="shared" si="0"/>
        <v>105</v>
      </c>
      <c r="D17" s="92">
        <f t="shared" si="6"/>
        <v>13</v>
      </c>
      <c r="E17" s="29">
        <f>IFERROR(VLOOKUP(C17,'Curve-Mixed'!$G$2:$R$185,12,FALSE),"")</f>
        <v>144.51042323254063</v>
      </c>
      <c r="F17" s="29">
        <f>IFERROR(IF(E18="",E17+(MAX('Кормовой бюджет'!$C$24:$J$24)-E17),E17),"")</f>
        <v>144.51042323254063</v>
      </c>
      <c r="G17" s="31">
        <f>IF(E17="","",SUM('Curve-Mixed'!Q81:Q87))</f>
        <v>40.796519840317899</v>
      </c>
      <c r="H17" s="31">
        <f t="shared" si="7"/>
        <v>5.8280742629025566</v>
      </c>
      <c r="I17" s="122">
        <f t="shared" si="1"/>
        <v>2.3177195080156019</v>
      </c>
      <c r="J17" s="122">
        <f t="shared" si="8"/>
        <v>2.5145727266594351</v>
      </c>
      <c r="K17" s="122">
        <f t="shared" si="9"/>
        <v>1.5628891369219997</v>
      </c>
      <c r="L17" s="31">
        <f>IF(G17="","",SUM($G$5:$G17))</f>
        <v>261.14691610918828</v>
      </c>
      <c r="M17" s="122">
        <f t="shared" si="10"/>
        <v>1.9891953850069375</v>
      </c>
      <c r="N17" s="184"/>
      <c r="O17" s="92">
        <f t="shared" si="11"/>
        <v>7</v>
      </c>
      <c r="P17" s="92">
        <f>MAX('Curve-Barrows'!G81:G87)</f>
        <v>105</v>
      </c>
      <c r="Q17" s="92">
        <f t="shared" si="2"/>
        <v>105</v>
      </c>
      <c r="R17" s="92">
        <f t="shared" si="12"/>
        <v>13</v>
      </c>
      <c r="S17" s="29">
        <f>IFERROR(VLOOKUP(Q17,'Curve-Barrows'!$G$2:$R$185,12,FALSE),"")</f>
        <v>147.88706270112223</v>
      </c>
      <c r="T17" s="29">
        <f>IFERROR(IF(S18="",S17+(MAX('Кормовой бюджет'!$C$38:$J$38)-S17),S17),"")</f>
        <v>147.88706270112223</v>
      </c>
      <c r="U17" s="31">
        <f>IF(S17="","",SUM('Curve-Barrows'!Q81:Q87))</f>
        <v>43.955706761699005</v>
      </c>
      <c r="V17" s="31">
        <f t="shared" si="13"/>
        <v>6.2793866802427152</v>
      </c>
      <c r="W17" s="122">
        <f t="shared" si="22"/>
        <v>2.4245140141331012</v>
      </c>
      <c r="X17" s="122">
        <f t="shared" si="14"/>
        <v>2.5899568505847328</v>
      </c>
      <c r="Y17" s="122">
        <f t="shared" si="15"/>
        <v>1.6045951620380761</v>
      </c>
      <c r="Z17" s="31">
        <f>IF(U17="","",SUM($U$5:$U17))</f>
        <v>271.50128383894412</v>
      </c>
      <c r="AA17" s="122">
        <f t="shared" si="16"/>
        <v>2.01431377671268</v>
      </c>
      <c r="AB17" s="184"/>
      <c r="AC17" s="92">
        <f t="shared" si="17"/>
        <v>7</v>
      </c>
      <c r="AD17" s="92">
        <f>MAX('Curve-Gilts'!G81:G87)</f>
        <v>105</v>
      </c>
      <c r="AE17" s="92">
        <f t="shared" si="3"/>
        <v>105</v>
      </c>
      <c r="AF17" s="92">
        <f t="shared" si="18"/>
        <v>13</v>
      </c>
      <c r="AG17" s="29">
        <f>IFERROR(VLOOKUP(AE17,'Curve-Gilts'!$G$2:$R$185,12,FALSE),"")</f>
        <v>141.13500843027234</v>
      </c>
      <c r="AH17" s="29">
        <f>IFERROR(IF(AG18="",AG17+(MAX('Кормовой бюджет'!$C$43:$J$43)-AG17),AG17),"")</f>
        <v>141.13500843027234</v>
      </c>
      <c r="AI17" s="31">
        <f>IF(AG17="","",SUM('Curve-Gilts'!Q81:Q87))</f>
        <v>37.750078105587676</v>
      </c>
      <c r="AJ17" s="31">
        <f t="shared" si="19"/>
        <v>5.3928683007982396</v>
      </c>
      <c r="AK17" s="122">
        <f t="shared" si="23"/>
        <v>2.2109250018981004</v>
      </c>
      <c r="AL17" s="122">
        <f t="shared" si="20"/>
        <v>2.4391909703714103</v>
      </c>
      <c r="AM17" s="122">
        <f t="shared" si="21"/>
        <v>1.5211831118059211</v>
      </c>
      <c r="AN17" s="31">
        <f>IF(AI17="","",SUM($AI$5:$AI17))</f>
        <v>250.9913394223112</v>
      </c>
      <c r="AO17" s="122">
        <f t="shared" si="24"/>
        <v>1.9642553962044746</v>
      </c>
    </row>
    <row r="18" spans="1:41" x14ac:dyDescent="0.25">
      <c r="A18" s="92">
        <f t="shared" si="5"/>
        <v>7</v>
      </c>
      <c r="B18" s="92">
        <f>MAX('Curve-Mixed'!G88:G94)</f>
        <v>112</v>
      </c>
      <c r="C18" s="92">
        <f t="shared" si="0"/>
        <v>112</v>
      </c>
      <c r="D18" s="92">
        <f t="shared" si="6"/>
        <v>14</v>
      </c>
      <c r="E18" s="29">
        <f>IFERROR(VLOOKUP(C18,'Curve-Mixed'!$G$2:$R$185,12,FALSE),"")</f>
        <v>161.08704481923829</v>
      </c>
      <c r="F18" s="29">
        <f>IFERROR(IF(E19="",E18+(MAX('Кормовой бюджет'!$C$24:$J$24)-E18),E18),"")</f>
        <v>161.08704481923829</v>
      </c>
      <c r="G18" s="31">
        <f>IF(E18="","",SUM('Curve-Mixed'!Q88:Q94))</f>
        <v>43.390285162484815</v>
      </c>
      <c r="H18" s="31">
        <f t="shared" si="7"/>
        <v>6.1986121660692595</v>
      </c>
      <c r="I18" s="122">
        <f t="shared" si="1"/>
        <v>2.3680887980996652</v>
      </c>
      <c r="J18" s="122">
        <f t="shared" si="8"/>
        <v>2.617559008362988</v>
      </c>
      <c r="K18" s="122">
        <f t="shared" si="9"/>
        <v>1.6248275723972048</v>
      </c>
      <c r="L18" s="31">
        <f>IF(G18="","",SUM($G$5:$G18))</f>
        <v>304.5372012716731</v>
      </c>
      <c r="M18" s="122">
        <f t="shared" si="10"/>
        <v>2.05964171718214</v>
      </c>
      <c r="N18" s="184"/>
      <c r="O18" s="92">
        <f t="shared" si="11"/>
        <v>7</v>
      </c>
      <c r="P18" s="92">
        <f>MAX('Curve-Barrows'!G88:G94)</f>
        <v>112</v>
      </c>
      <c r="Q18" s="92">
        <f t="shared" si="2"/>
        <v>112</v>
      </c>
      <c r="R18" s="92">
        <f t="shared" si="12"/>
        <v>14</v>
      </c>
      <c r="S18" s="29">
        <f>IFERROR(VLOOKUP(Q18,'Curve-Barrows'!$G$2:$R$185,12,FALSE),"")</f>
        <v>165.23705892461632</v>
      </c>
      <c r="T18" s="29">
        <f>IFERROR(IF(S19="",S18+(MAX('Кормовой бюджет'!$C$38:$J$38)-S18),S18),"")</f>
        <v>165.23705892461632</v>
      </c>
      <c r="U18" s="31">
        <f>IF(S18="","",SUM('Curve-Barrows'!Q88:Q94))</f>
        <v>47.018493585790353</v>
      </c>
      <c r="V18" s="31">
        <f t="shared" si="13"/>
        <v>6.7169276551129071</v>
      </c>
      <c r="W18" s="122">
        <f t="shared" si="22"/>
        <v>2.4785708890705842</v>
      </c>
      <c r="X18" s="122">
        <f t="shared" si="14"/>
        <v>2.7100002201799538</v>
      </c>
      <c r="Y18" s="122">
        <f t="shared" si="15"/>
        <v>1.6718240641174997</v>
      </c>
      <c r="Z18" s="31">
        <f>IF(U18="","",SUM($U$5:$U18))</f>
        <v>318.51977742473446</v>
      </c>
      <c r="AA18" s="122">
        <f t="shared" si="16"/>
        <v>2.0936517241635646</v>
      </c>
      <c r="AB18" s="184"/>
      <c r="AC18" s="92">
        <f t="shared" si="17"/>
        <v>7</v>
      </c>
      <c r="AD18" s="92">
        <f>MAX('Curve-Gilts'!G88:G94)</f>
        <v>112</v>
      </c>
      <c r="AE18" s="92">
        <f t="shared" si="3"/>
        <v>112</v>
      </c>
      <c r="AF18" s="92">
        <f t="shared" si="18"/>
        <v>14</v>
      </c>
      <c r="AG18" s="29">
        <f>IFERROR(VLOOKUP(AE18,'Curve-Gilts'!$G$2:$R$185,12,FALSE),"")</f>
        <v>156.93825538017353</v>
      </c>
      <c r="AH18" s="29">
        <f>IFERROR(IF(AG19="",AG18+(MAX('Кормовой бюджет'!$C$43:$J$43)-AG18),AG18),"")</f>
        <v>156.93825538017353</v>
      </c>
      <c r="AI18" s="31">
        <f>IF(AG18="","",SUM('Curve-Gilts'!Q88:Q94))</f>
        <v>39.905066154983423</v>
      </c>
      <c r="AJ18" s="31">
        <f t="shared" si="19"/>
        <v>5.7007237364262036</v>
      </c>
      <c r="AK18" s="122">
        <f t="shared" si="23"/>
        <v>2.2576067071287418</v>
      </c>
      <c r="AL18" s="122">
        <f t="shared" si="20"/>
        <v>2.5251181786558696</v>
      </c>
      <c r="AM18" s="122">
        <f t="shared" si="21"/>
        <v>1.5778310806769074</v>
      </c>
      <c r="AN18" s="31">
        <f>IF(AI18="","",SUM($AI$5:$AI18))</f>
        <v>290.89640557729462</v>
      </c>
      <c r="AO18" s="122">
        <f t="shared" si="24"/>
        <v>2.0259860746191429</v>
      </c>
    </row>
    <row r="19" spans="1:41" x14ac:dyDescent="0.25">
      <c r="A19" s="92">
        <f t="shared" si="5"/>
        <v>7</v>
      </c>
      <c r="B19" s="92">
        <f>MAX('Curve-Mixed'!G95:G101)</f>
        <v>119</v>
      </c>
      <c r="C19" s="92">
        <f t="shared" si="0"/>
        <v>119</v>
      </c>
      <c r="D19" s="92">
        <f t="shared" si="6"/>
        <v>15</v>
      </c>
      <c r="E19" s="29">
        <f>IFERROR(VLOOKUP(C19,'Curve-Mixed'!$G$2:$R$185,12,FALSE),"")</f>
        <v>177.8986556177471</v>
      </c>
      <c r="F19" s="29">
        <f>IFERROR(IF(E20="",E19+(MAX('Кормовой бюджет'!$C$24:$J$24)-E19),E19),"")</f>
        <v>177.8986556177471</v>
      </c>
      <c r="G19" s="31">
        <f>IF(E19="","",SUM('Curve-Mixed'!Q95:Q101))</f>
        <v>45.639734769692673</v>
      </c>
      <c r="H19" s="31">
        <f t="shared" si="7"/>
        <v>6.5199621099560963</v>
      </c>
      <c r="I19" s="122">
        <f t="shared" si="1"/>
        <v>2.4016586855012583</v>
      </c>
      <c r="J19" s="122">
        <f t="shared" si="8"/>
        <v>2.7147746469208602</v>
      </c>
      <c r="K19" s="122">
        <f t="shared" si="9"/>
        <v>1.6803155090474944</v>
      </c>
      <c r="L19" s="31">
        <f>IF(G19="","",SUM($G$5:$G19))</f>
        <v>350.17693604136576</v>
      </c>
      <c r="M19" s="122">
        <f t="shared" si="10"/>
        <v>2.126525656639302</v>
      </c>
      <c r="N19" s="184"/>
      <c r="O19" s="92">
        <f t="shared" si="11"/>
        <v>7</v>
      </c>
      <c r="P19" s="92">
        <f>MAX('Curve-Barrows'!G95:G101)</f>
        <v>119</v>
      </c>
      <c r="Q19" s="92">
        <f t="shared" si="2"/>
        <v>119</v>
      </c>
      <c r="R19" s="92">
        <f t="shared" si="12"/>
        <v>15</v>
      </c>
      <c r="S19" s="29">
        <f>IFERROR(VLOOKUP(Q19,'Curve-Barrows'!$G$2:$R$185,12,FALSE),"")</f>
        <v>182.832270781787</v>
      </c>
      <c r="T19" s="29">
        <f>IFERROR(IF(S20="",S19+(MAX('Кормовой бюджет'!$C$38:$J$38)-S19),S19),"")</f>
        <v>182.832270781787</v>
      </c>
      <c r="U19" s="31">
        <f>IF(S19="","",SUM('Curve-Barrows'!Q95:Q101))</f>
        <v>49.57811996040904</v>
      </c>
      <c r="V19" s="31">
        <f t="shared" si="13"/>
        <v>7.0825885657727197</v>
      </c>
      <c r="W19" s="122">
        <f t="shared" si="22"/>
        <v>2.513601693881526</v>
      </c>
      <c r="X19" s="122">
        <f t="shared" si="14"/>
        <v>2.8177052008728256</v>
      </c>
      <c r="Y19" s="122">
        <f t="shared" si="15"/>
        <v>1.731951037672073</v>
      </c>
      <c r="Z19" s="31">
        <f>IF(U19="","",SUM($U$5:$U19))</f>
        <v>368.09789738514348</v>
      </c>
      <c r="AA19" s="122">
        <f t="shared" si="16"/>
        <v>2.1687108422964165</v>
      </c>
      <c r="AB19" s="184"/>
      <c r="AC19" s="92">
        <f t="shared" si="17"/>
        <v>7</v>
      </c>
      <c r="AD19" s="92">
        <f>MAX('Curve-Gilts'!G95:G101)</f>
        <v>119</v>
      </c>
      <c r="AE19" s="92">
        <f t="shared" si="3"/>
        <v>119</v>
      </c>
      <c r="AF19" s="92">
        <f t="shared" si="18"/>
        <v>15</v>
      </c>
      <c r="AG19" s="29">
        <f>IFERROR(VLOOKUP(AE19,'Curve-Gilts'!$G$2:$R$185,12,FALSE),"")</f>
        <v>172.96626512002047</v>
      </c>
      <c r="AH19" s="29">
        <f>IFERROR(IF(AG20="",AG19+(MAX('Кормовой бюджет'!$C$43:$J$43)-AG19),AG19),"")</f>
        <v>172.96626512002047</v>
      </c>
      <c r="AI19" s="31">
        <f>IF(AG19="","",SUM('Curve-Gilts'!Q95:Q101))</f>
        <v>41.862659915881778</v>
      </c>
      <c r="AJ19" s="31">
        <f t="shared" si="19"/>
        <v>5.9803799879831114</v>
      </c>
      <c r="AK19" s="122">
        <f t="shared" si="23"/>
        <v>2.289715677120991</v>
      </c>
      <c r="AL19" s="122">
        <f t="shared" si="20"/>
        <v>2.6118439279337222</v>
      </c>
      <c r="AM19" s="122">
        <f t="shared" si="21"/>
        <v>1.6286799804229133</v>
      </c>
      <c r="AN19" s="31">
        <f>IF(AI19="","",SUM($AI$5:$AI19))</f>
        <v>332.75906549317642</v>
      </c>
      <c r="AO19" s="122">
        <f t="shared" si="24"/>
        <v>2.08481758793156</v>
      </c>
    </row>
    <row r="20" spans="1:41" x14ac:dyDescent="0.25">
      <c r="A20" s="92">
        <f t="shared" si="5"/>
        <v>7</v>
      </c>
      <c r="B20" s="92">
        <f>MAX('Curve-Mixed'!G102:G108)</f>
        <v>126</v>
      </c>
      <c r="C20" s="92">
        <f t="shared" si="0"/>
        <v>126</v>
      </c>
      <c r="D20" s="92">
        <f t="shared" si="6"/>
        <v>16</v>
      </c>
      <c r="E20" s="29">
        <f>IFERROR(VLOOKUP(C20,'Curve-Mixed'!$G$2:$R$185,12,FALSE),"")</f>
        <v>194.83590548682471</v>
      </c>
      <c r="F20" s="29">
        <f>IFERROR(IF(E21="",E20+(MAX('Кормовой бюджет'!$C$24:$J$24)-E20),E20),"")</f>
        <v>194.83590548682471</v>
      </c>
      <c r="G20" s="31">
        <f>IF(E20="","",SUM('Curve-Mixed'!Q102:Q108))</f>
        <v>47.565724155765331</v>
      </c>
      <c r="H20" s="31">
        <f t="shared" si="7"/>
        <v>6.7951034508236186</v>
      </c>
      <c r="I20" s="122">
        <f t="shared" si="1"/>
        <v>2.4196071241539454</v>
      </c>
      <c r="J20" s="122">
        <f t="shared" si="8"/>
        <v>2.8083499106077543</v>
      </c>
      <c r="K20" s="122">
        <f t="shared" si="9"/>
        <v>1.7296016167212578</v>
      </c>
      <c r="L20" s="31">
        <f>IF(G20="","",SUM($G$5:$G20))</f>
        <v>397.7426601971311</v>
      </c>
      <c r="M20" s="122">
        <f t="shared" si="10"/>
        <v>2.1901143584680458</v>
      </c>
      <c r="N20" s="184"/>
      <c r="O20" s="92">
        <f t="shared" si="11"/>
        <v>7</v>
      </c>
      <c r="P20" s="92">
        <f>MAX('Curve-Barrows'!G102:G108)</f>
        <v>126</v>
      </c>
      <c r="Q20" s="92">
        <f t="shared" si="2"/>
        <v>126</v>
      </c>
      <c r="R20" s="92">
        <f t="shared" si="12"/>
        <v>16</v>
      </c>
      <c r="S20" s="29">
        <f>IFERROR(VLOOKUP(Q20,'Curve-Barrows'!$G$2:$R$185,12,FALSE),"")</f>
        <v>200.54882502690546</v>
      </c>
      <c r="T20" s="29">
        <f>IFERROR(IF(S21="",S20+(MAX('Кормовой бюджет'!$C$38:$J$38)-S20),S20),"")</f>
        <v>200.54882502690546</v>
      </c>
      <c r="U20" s="31">
        <f>IF(S20="","",SUM('Curve-Barrows'!Q102:Q108))</f>
        <v>51.668967999825277</v>
      </c>
      <c r="V20" s="31">
        <f t="shared" si="13"/>
        <v>7.3812811428321821</v>
      </c>
      <c r="W20" s="122">
        <f t="shared" si="22"/>
        <v>2.5309363207312083</v>
      </c>
      <c r="X20" s="122">
        <f t="shared" si="14"/>
        <v>2.9164230970061187</v>
      </c>
      <c r="Y20" s="122">
        <f t="shared" si="15"/>
        <v>1.7852167232093488</v>
      </c>
      <c r="Z20" s="31">
        <f>IF(U20="","",SUM($U$5:$U20))</f>
        <v>419.76686538496875</v>
      </c>
      <c r="AA20" s="122">
        <f t="shared" si="16"/>
        <v>2.2393805852020487</v>
      </c>
      <c r="AB20" s="184"/>
      <c r="AC20" s="92">
        <f t="shared" si="17"/>
        <v>7</v>
      </c>
      <c r="AD20" s="92">
        <f>MAX('Curve-Gilts'!G102:G108)</f>
        <v>126</v>
      </c>
      <c r="AE20" s="92">
        <f t="shared" si="3"/>
        <v>126</v>
      </c>
      <c r="AF20" s="92">
        <f t="shared" si="18"/>
        <v>16</v>
      </c>
      <c r="AG20" s="29">
        <f>IFERROR(VLOOKUP(AE20,'Curve-Gilts'!$G$2:$R$185,12,FALSE),"")</f>
        <v>189.12421061305727</v>
      </c>
      <c r="AH20" s="29">
        <f>IFERROR(IF(AG21="",AG20+(MAX('Кормовой бюджет'!$C$43:$J$43)-AG20),AG20),"")</f>
        <v>189.12421061305727</v>
      </c>
      <c r="AI20" s="31">
        <f>IF(AG20="","",SUM('Curve-Gilts'!Q102:Q108))</f>
        <v>43.630927319583378</v>
      </c>
      <c r="AJ20" s="31">
        <f t="shared" si="19"/>
        <v>6.2329896170833399</v>
      </c>
      <c r="AK20" s="122">
        <f t="shared" si="23"/>
        <v>2.3082779275766865</v>
      </c>
      <c r="AL20" s="122">
        <f t="shared" si="20"/>
        <v>2.7002769218639791</v>
      </c>
      <c r="AM20" s="122">
        <f t="shared" si="21"/>
        <v>1.6739865102331648</v>
      </c>
      <c r="AN20" s="31">
        <f>IF(AI20="","",SUM($AI$5:$AI20))</f>
        <v>376.38999281275983</v>
      </c>
      <c r="AO20" s="122">
        <f t="shared" si="24"/>
        <v>2.141395152412227</v>
      </c>
    </row>
    <row r="21" spans="1:41" x14ac:dyDescent="0.25">
      <c r="A21" s="92">
        <f t="shared" si="5"/>
        <v>7</v>
      </c>
      <c r="B21" s="92">
        <f>MAX('Curve-Mixed'!G109:G115)</f>
        <v>133</v>
      </c>
      <c r="C21" s="92">
        <f t="shared" si="0"/>
        <v>133</v>
      </c>
      <c r="D21" s="92">
        <f t="shared" si="6"/>
        <v>17</v>
      </c>
      <c r="E21" s="29">
        <f>IFERROR(VLOOKUP(C21,'Curve-Mixed'!$G$2:$R$185,12,FALSE),"")</f>
        <v>211.79877765845282</v>
      </c>
      <c r="F21" s="29">
        <f>IFERROR(IF(E22="",E21+(MAX('Кормовой бюджет'!$C$24:$J$24)-E21),E21),"")</f>
        <v>211.79877765845282</v>
      </c>
      <c r="G21" s="31">
        <f>IF(E21="","",SUM('Curve-Mixed'!Q109:Q115))</f>
        <v>49.199095564228941</v>
      </c>
      <c r="H21" s="31">
        <f t="shared" si="7"/>
        <v>7.0284422234612771</v>
      </c>
      <c r="I21" s="122">
        <f t="shared" si="1"/>
        <v>2.4232674530897294</v>
      </c>
      <c r="J21" s="122">
        <f t="shared" si="8"/>
        <v>2.9003988868417432</v>
      </c>
      <c r="K21" s="122">
        <f t="shared" si="9"/>
        <v>1.7729557314942872</v>
      </c>
      <c r="L21" s="31">
        <f>IF(G21="","",SUM($G$5:$G21))</f>
        <v>446.94175576136001</v>
      </c>
      <c r="M21" s="122">
        <f t="shared" si="10"/>
        <v>2.250790202958481</v>
      </c>
      <c r="N21" s="184"/>
      <c r="O21" s="92">
        <f t="shared" si="11"/>
        <v>7</v>
      </c>
      <c r="P21" s="92">
        <f>MAX('Curve-Barrows'!G109:G115)</f>
        <v>133</v>
      </c>
      <c r="Q21" s="92">
        <f t="shared" si="2"/>
        <v>133</v>
      </c>
      <c r="R21" s="92">
        <f t="shared" si="12"/>
        <v>17</v>
      </c>
      <c r="S21" s="29">
        <f>IFERROR(VLOOKUP(Q21,'Curve-Barrows'!$G$2:$R$185,12,FALSE),"")</f>
        <v>218.27362004474145</v>
      </c>
      <c r="T21" s="29">
        <f>IFERROR(IF(S22="",S21+(MAX('Кормовой бюджет'!$C$38:$J$38)-S21),S21),"")</f>
        <v>218.27362004474145</v>
      </c>
      <c r="U21" s="31">
        <f>IF(S21="","",SUM('Curve-Barrows'!Q109:Q115))</f>
        <v>53.343622025312492</v>
      </c>
      <c r="V21" s="31">
        <f t="shared" si="13"/>
        <v>7.6205174321874987</v>
      </c>
      <c r="W21" s="122">
        <f t="shared" si="22"/>
        <v>2.5321135739765697</v>
      </c>
      <c r="X21" s="122">
        <f t="shared" si="14"/>
        <v>3.0095480354855573</v>
      </c>
      <c r="Y21" s="122">
        <f t="shared" si="15"/>
        <v>1.8318977763823001</v>
      </c>
      <c r="Z21" s="31">
        <f>IF(U21="","",SUM($U$5:$U21))</f>
        <v>473.11048741028122</v>
      </c>
      <c r="AA21" s="122">
        <f t="shared" si="16"/>
        <v>2.3059151197787076</v>
      </c>
      <c r="AB21" s="184"/>
      <c r="AC21" s="92">
        <f t="shared" si="17"/>
        <v>7</v>
      </c>
      <c r="AD21" s="92">
        <f>MAX('Curve-Gilts'!G109:G115)</f>
        <v>133</v>
      </c>
      <c r="AE21" s="92">
        <f t="shared" si="3"/>
        <v>133</v>
      </c>
      <c r="AF21" s="92">
        <f t="shared" si="18"/>
        <v>17</v>
      </c>
      <c r="AG21" s="29">
        <f>IFERROR(VLOOKUP(AE21,'Curve-Gilts'!$G$2:$R$185,12,FALSE),"")</f>
        <v>205.32515993847753</v>
      </c>
      <c r="AH21" s="29">
        <f>IFERROR(IF(AG22="",AG21+(MAX('Кормовой бюджет'!$C$43:$J$43)-AG21),AG21),"")</f>
        <v>205.32515993847753</v>
      </c>
      <c r="AI21" s="31">
        <f>IF(AG21="","",SUM('Curve-Gilts'!Q109:Q115))</f>
        <v>45.220912068188738</v>
      </c>
      <c r="AJ21" s="31">
        <f t="shared" si="19"/>
        <v>6.4601302954555342</v>
      </c>
      <c r="AK21" s="122">
        <f t="shared" si="23"/>
        <v>2.3144213322028935</v>
      </c>
      <c r="AL21" s="122">
        <f t="shared" si="20"/>
        <v>2.7912507569685707</v>
      </c>
      <c r="AM21" s="122">
        <f t="shared" si="21"/>
        <v>1.714013686606273</v>
      </c>
      <c r="AN21" s="31">
        <f>IF(AI21="","",SUM($AI$5:$AI21))</f>
        <v>421.61090488094857</v>
      </c>
      <c r="AO21" s="122">
        <f t="shared" si="24"/>
        <v>2.1962386349128975</v>
      </c>
    </row>
    <row r="22" spans="1:41" x14ac:dyDescent="0.25">
      <c r="A22" s="92">
        <f t="shared" si="5"/>
        <v>7</v>
      </c>
      <c r="B22" s="92">
        <f>MAX('Curve-Mixed'!G116:G122)</f>
        <v>140</v>
      </c>
      <c r="C22" s="92">
        <f t="shared" si="0"/>
        <v>140</v>
      </c>
      <c r="D22" s="92">
        <f t="shared" si="6"/>
        <v>18</v>
      </c>
      <c r="E22" s="29">
        <f>IFERROR(VLOOKUP(C22,'Curve-Mixed'!$G$2:$R$185,12,FALSE),"")</f>
        <v>228.69725148527371</v>
      </c>
      <c r="F22" s="29">
        <f>IFERROR(IF(E23="",E22+(MAX('Кормовой бюджет'!$C$24:$J$24)-E22),E22),"")</f>
        <v>228.69725148527371</v>
      </c>
      <c r="G22" s="31">
        <f>IF(E22="","",SUM('Curve-Mixed'!Q116:Q122))</f>
        <v>50.575385500848164</v>
      </c>
      <c r="H22" s="31">
        <f t="shared" si="7"/>
        <v>7.2250550715497379</v>
      </c>
      <c r="I22" s="122">
        <f t="shared" si="1"/>
        <v>2.4140676895458415</v>
      </c>
      <c r="J22" s="122">
        <f t="shared" si="8"/>
        <v>2.9928966378357797</v>
      </c>
      <c r="K22" s="122">
        <f t="shared" si="9"/>
        <v>1.8106681996149669</v>
      </c>
      <c r="L22" s="31">
        <f>IF(G22="","",SUM($G$5:$G22))</f>
        <v>497.51714126220816</v>
      </c>
      <c r="M22" s="122">
        <f t="shared" si="10"/>
        <v>2.3089908543248492</v>
      </c>
      <c r="N22" s="184"/>
      <c r="O22" s="92">
        <f t="shared" si="11"/>
        <v>7</v>
      </c>
      <c r="P22" s="92">
        <f>MAX('Curve-Barrows'!G116:G122)</f>
        <v>140</v>
      </c>
      <c r="Q22" s="92">
        <f t="shared" si="2"/>
        <v>140</v>
      </c>
      <c r="R22" s="92">
        <f t="shared" si="12"/>
        <v>18</v>
      </c>
      <c r="S22" s="29">
        <f>IFERROR(VLOOKUP(Q22,'Curve-Barrows'!$G$2:$R$185,12,FALSE),"")</f>
        <v>235.90523264316596</v>
      </c>
      <c r="T22" s="29">
        <f>IFERROR(IF(S23="",S22+(MAX('Кормовой бюджет'!$C$38:$J$38)-S22),S22),"")</f>
        <v>235.90523264316596</v>
      </c>
      <c r="U22" s="31">
        <f>IF(S22="","",SUM('Curve-Barrows'!Q116:Q122))</f>
        <v>54.662791045109365</v>
      </c>
      <c r="V22" s="31">
        <f t="shared" si="13"/>
        <v>7.8089701493013379</v>
      </c>
      <c r="W22" s="122">
        <f t="shared" si="22"/>
        <v>2.5188017997749301</v>
      </c>
      <c r="X22" s="122">
        <f t="shared" si="14"/>
        <v>3.1002717839883691</v>
      </c>
      <c r="Y22" s="122">
        <f t="shared" si="15"/>
        <v>1.8723038954053959</v>
      </c>
      <c r="Z22" s="31">
        <f>IF(U22="","",SUM($U$5:$U22))</f>
        <v>527.7732784553906</v>
      </c>
      <c r="AA22" s="122">
        <f t="shared" si="16"/>
        <v>2.3687765526395648</v>
      </c>
      <c r="AB22" s="184"/>
      <c r="AC22" s="92">
        <f t="shared" si="17"/>
        <v>7</v>
      </c>
      <c r="AD22" s="92">
        <f>MAX('Curve-Gilts'!G116:G122)</f>
        <v>140</v>
      </c>
      <c r="AE22" s="92">
        <f t="shared" si="3"/>
        <v>140</v>
      </c>
      <c r="AF22" s="92">
        <f t="shared" si="18"/>
        <v>18</v>
      </c>
      <c r="AG22" s="29">
        <f>IFERROR(VLOOKUP(AE22,'Curve-Gilts'!$G$2:$R$185,12,FALSE),"")</f>
        <v>221.49049499369482</v>
      </c>
      <c r="AH22" s="29">
        <f>IFERROR(IF(AG23="",AG22+(MAX('Кормовой бюджет'!$C$43:$J$43)-AG22),AG22),"")</f>
        <v>221.49049499369482</v>
      </c>
      <c r="AI22" s="31">
        <f>IF(AG22="","",SUM('Curve-Gilts'!Q116:Q122))</f>
        <v>46.645453358227506</v>
      </c>
      <c r="AJ22" s="31">
        <f t="shared" si="19"/>
        <v>6.6636361940325006</v>
      </c>
      <c r="AK22" s="122">
        <f t="shared" si="23"/>
        <v>2.3093335793167569</v>
      </c>
      <c r="AL22" s="122">
        <f t="shared" si="20"/>
        <v>2.8855234487189221</v>
      </c>
      <c r="AM22" s="122">
        <f t="shared" si="21"/>
        <v>1.7490325038245367</v>
      </c>
      <c r="AN22" s="31">
        <f>IF(AI22="","",SUM($AI$5:$AI22))</f>
        <v>468.25635823917605</v>
      </c>
      <c r="AO22" s="122">
        <f t="shared" si="24"/>
        <v>2.2497737300803737</v>
      </c>
    </row>
    <row r="23" spans="1:41" x14ac:dyDescent="0.25">
      <c r="A23" s="92">
        <f t="shared" si="5"/>
        <v>7</v>
      </c>
      <c r="B23" s="92">
        <f>MAX('Curve-Mixed'!G123:G129)</f>
        <v>147</v>
      </c>
      <c r="C23" s="92">
        <f t="shared" si="0"/>
        <v>147</v>
      </c>
      <c r="D23" s="92">
        <f t="shared" si="6"/>
        <v>19</v>
      </c>
      <c r="E23" s="29">
        <f>IFERROR(VLOOKUP(C23,'Curve-Mixed'!$G$2:$R$185,12,FALSE),"")</f>
        <v>245.45159126094109</v>
      </c>
      <c r="F23" s="29">
        <f>IFERROR(IF(E24="",E23+(MAX('Кормовой бюджет'!$C$24:$J$24)-E23),E23),"")</f>
        <v>245.45159126094109</v>
      </c>
      <c r="G23" s="31">
        <f>IF(E23="","",SUM('Curve-Mixed'!Q123:Q129))</f>
        <v>51.73083489553261</v>
      </c>
      <c r="H23" s="31">
        <f t="shared" si="7"/>
        <v>7.3901192707903727</v>
      </c>
      <c r="I23" s="122">
        <f t="shared" si="1"/>
        <v>2.3934771108096249</v>
      </c>
      <c r="J23" s="122">
        <f t="shared" si="8"/>
        <v>3.0876080817378564</v>
      </c>
      <c r="K23" s="122">
        <f t="shared" si="9"/>
        <v>1.8430464724591145</v>
      </c>
      <c r="L23" s="31">
        <f>IF(G23="","",SUM($G$5:$G23))</f>
        <v>549.24797615774082</v>
      </c>
      <c r="M23" s="122">
        <f t="shared" si="10"/>
        <v>2.3651660373330783</v>
      </c>
      <c r="N23" s="184"/>
      <c r="O23" s="92">
        <f t="shared" si="11"/>
        <v>7</v>
      </c>
      <c r="P23" s="92">
        <f>MAX('Curve-Barrows'!G123:G129)</f>
        <v>147</v>
      </c>
      <c r="Q23" s="92">
        <f t="shared" si="2"/>
        <v>147</v>
      </c>
      <c r="R23" s="92">
        <f t="shared" si="12"/>
        <v>19</v>
      </c>
      <c r="S23" s="29">
        <f>IFERROR(VLOOKUP(Q23,'Curve-Barrows'!$G$2:$R$185,12,FALSE),"")</f>
        <v>253.35433421689461</v>
      </c>
      <c r="T23" s="29">
        <f>IFERROR(IF(S24="",S23+(MAX('Кормовой бюджет'!$C$38:$J$38)-S23),S23),"")</f>
        <v>253.35433421689461</v>
      </c>
      <c r="U23" s="31">
        <f>IF(S23="","",SUM('Curve-Barrows'!Q123:Q129))</f>
        <v>55.687728019084133</v>
      </c>
      <c r="V23" s="31">
        <f t="shared" si="13"/>
        <v>7.9553897170120189</v>
      </c>
      <c r="W23" s="122">
        <f t="shared" si="22"/>
        <v>2.4927287962469507</v>
      </c>
      <c r="X23" s="122">
        <f t="shared" si="14"/>
        <v>3.1914381255552726</v>
      </c>
      <c r="Y23" s="122">
        <f t="shared" si="15"/>
        <v>1.906771945452149</v>
      </c>
      <c r="Z23" s="31">
        <f>IF(U23="","",SUM($U$5:$U23))</f>
        <v>583.46100647447474</v>
      </c>
      <c r="AA23" s="122">
        <f t="shared" si="16"/>
        <v>2.428524774329802</v>
      </c>
      <c r="AB23" s="184"/>
      <c r="AC23" s="92">
        <f t="shared" si="17"/>
        <v>7</v>
      </c>
      <c r="AD23" s="92">
        <f>MAX('Curve-Gilts'!G123:G129)</f>
        <v>147</v>
      </c>
      <c r="AE23" s="92">
        <f t="shared" si="3"/>
        <v>147</v>
      </c>
      <c r="AF23" s="92">
        <f t="shared" si="18"/>
        <v>19</v>
      </c>
      <c r="AG23" s="29">
        <f>IFERROR(VLOOKUP(AE23,'Curve-Gilts'!$G$2:$R$185,12,FALSE),"")</f>
        <v>237.55007297130086</v>
      </c>
      <c r="AH23" s="29">
        <f>IFERROR(IF(AG24="",AG23+(MAX('Кормовой бюджет'!$C$43:$J$43)-AG23),AG23),"")</f>
        <v>237.55007297130086</v>
      </c>
      <c r="AI23" s="31">
        <f>IF(AG23="","",SUM('Curve-Gilts'!Q123:Q129))</f>
        <v>47.918260766295965</v>
      </c>
      <c r="AJ23" s="31">
        <f t="shared" si="19"/>
        <v>6.8454658237565669</v>
      </c>
      <c r="AK23" s="122">
        <f t="shared" si="23"/>
        <v>2.2942254253722916</v>
      </c>
      <c r="AL23" s="122">
        <f t="shared" si="20"/>
        <v>2.9837808212092893</v>
      </c>
      <c r="AM23" s="122">
        <f t="shared" si="21"/>
        <v>1.7793209994660786</v>
      </c>
      <c r="AN23" s="31">
        <f>IF(AI23="","",SUM($AI$5:$AI23))</f>
        <v>516.17461900547198</v>
      </c>
      <c r="AO23" s="122">
        <f t="shared" si="24"/>
        <v>2.3023523926206479</v>
      </c>
    </row>
    <row r="24" spans="1:41" x14ac:dyDescent="0.25">
      <c r="A24" s="92">
        <f t="shared" si="5"/>
        <v>7</v>
      </c>
      <c r="B24" s="92">
        <f>MAX('Curve-Mixed'!G130:G136)</f>
        <v>154</v>
      </c>
      <c r="C24" s="92">
        <f t="shared" si="0"/>
        <v>154</v>
      </c>
      <c r="D24" s="92">
        <f t="shared" si="6"/>
        <v>20</v>
      </c>
      <c r="E24" s="29">
        <f>IFERROR(VLOOKUP(C24,'Curve-Mixed'!$G$2:$R$185,12,FALSE),"")</f>
        <v>261.99231956675885</v>
      </c>
      <c r="F24" s="29">
        <f>IFERROR(IF(E25="",E24+(MAX('Кормовой бюджет'!$C$24:$J$24)-E24),E24),"")</f>
        <v>261.99231956675885</v>
      </c>
      <c r="G24" s="31">
        <f>IF(E24="","",SUM('Curve-Mixed'!Q130:Q136))</f>
        <v>52.699741867536531</v>
      </c>
      <c r="H24" s="31">
        <f t="shared" si="7"/>
        <v>7.528534552505219</v>
      </c>
      <c r="I24" s="122">
        <f t="shared" si="1"/>
        <v>2.362961186545395</v>
      </c>
      <c r="J24" s="122">
        <f t="shared" si="8"/>
        <v>3.1860593374839965</v>
      </c>
      <c r="K24" s="122">
        <f t="shared" si="9"/>
        <v>1.8704104047794452</v>
      </c>
      <c r="L24" s="31">
        <f>IF(G24="","",SUM($G$5:$G24))</f>
        <v>601.94771802527737</v>
      </c>
      <c r="M24" s="122">
        <f t="shared" si="10"/>
        <v>2.4197484575333434</v>
      </c>
      <c r="N24" s="184"/>
      <c r="O24" s="92">
        <f t="shared" si="11"/>
        <v>7</v>
      </c>
      <c r="P24" s="92">
        <f>MAX('Curve-Barrows'!G130:G136)</f>
        <v>154</v>
      </c>
      <c r="Q24" s="92">
        <f t="shared" si="2"/>
        <v>154</v>
      </c>
      <c r="R24" s="92">
        <f t="shared" si="12"/>
        <v>20</v>
      </c>
      <c r="S24" s="29">
        <f>IFERROR(VLOOKUP(Q24,'Curve-Barrows'!$G$2:$R$185,12,FALSE),"")</f>
        <v>270.54369279778035</v>
      </c>
      <c r="T24" s="29">
        <f>IFERROR(IF(S25="",S24+(MAX('Кормовой бюджет'!$C$38:$J$38)-S24),S24),"")</f>
        <v>270.54369279778035</v>
      </c>
      <c r="U24" s="31">
        <f>IF(S24="","",SUM('Curve-Barrows'!Q130:Q136))</f>
        <v>56.47529162551222</v>
      </c>
      <c r="V24" s="31">
        <f t="shared" si="13"/>
        <v>8.0678988036446029</v>
      </c>
      <c r="W24" s="122">
        <f t="shared" si="22"/>
        <v>2.4556226544122484</v>
      </c>
      <c r="X24" s="122">
        <f t="shared" si="14"/>
        <v>3.2854798717336515</v>
      </c>
      <c r="Y24" s="122">
        <f t="shared" ref="Y24:Y31" si="25">IF(S24="","",(S24-$S$5)/(Q24-$Q$5))</f>
        <v>1.9356588248711015</v>
      </c>
      <c r="Z24" s="31">
        <f>IF(U24="","",SUM($U$5:$U24))</f>
        <v>639.93629809998697</v>
      </c>
      <c r="AA24" s="122">
        <f t="shared" si="16"/>
        <v>2.4857433818969339</v>
      </c>
      <c r="AB24" s="184"/>
      <c r="AC24" s="92">
        <f t="shared" si="17"/>
        <v>7</v>
      </c>
      <c r="AD24" s="92">
        <f>MAX('Curve-Gilts'!G130:G136)</f>
        <v>154</v>
      </c>
      <c r="AE24" s="92">
        <f t="shared" si="3"/>
        <v>154</v>
      </c>
      <c r="AF24" s="92">
        <f t="shared" si="18"/>
        <v>20</v>
      </c>
      <c r="AG24" s="29">
        <f>IFERROR(VLOOKUP(AE24,'Curve-Gilts'!$G$2:$R$185,12,FALSE),"")</f>
        <v>253.44217100205069</v>
      </c>
      <c r="AH24" s="29">
        <f>IFERROR(IF(AG25="",AG24+(MAX('Кормовой бюджет'!$C$43:$J$43)-AG24),AG24),"")</f>
        <v>253.44217100205069</v>
      </c>
      <c r="AI24" s="31">
        <f>IF(AG24="","",SUM('Curve-Gilts'!Q130:Q136))</f>
        <v>49.053219913163659</v>
      </c>
      <c r="AJ24" s="31">
        <f t="shared" si="19"/>
        <v>7.0076028447376659</v>
      </c>
      <c r="AK24" s="122">
        <f t="shared" si="23"/>
        <v>2.2702997186785461</v>
      </c>
      <c r="AL24" s="122">
        <f t="shared" si="20"/>
        <v>3.0866421675885691</v>
      </c>
      <c r="AM24" s="122">
        <f t="shared" ref="AM24:AM31" si="26">IF(AG24="","",(AG24-$AG$5)/(AE24-$AE$5))</f>
        <v>1.8051619846877873</v>
      </c>
      <c r="AN24" s="31">
        <f>IF(AI24="","",SUM($AI$5:$AI24))</f>
        <v>565.2278389186356</v>
      </c>
      <c r="AO24" s="122">
        <f t="shared" si="24"/>
        <v>2.3542670471553939</v>
      </c>
    </row>
    <row r="25" spans="1:41" x14ac:dyDescent="0.25">
      <c r="A25" s="92">
        <f t="shared" si="5"/>
        <v>1</v>
      </c>
      <c r="B25" s="92">
        <f>MAX('Curve-Mixed'!G137:G143)</f>
        <v>155</v>
      </c>
      <c r="C25" s="92">
        <f t="shared" si="0"/>
        <v>155</v>
      </c>
      <c r="D25" s="92">
        <f t="shared" si="6"/>
        <v>21</v>
      </c>
      <c r="E25" s="29">
        <f>IFERROR(VLOOKUP(C25,'Curve-Mixed'!$G$2:$R$185,12,FALSE),"")</f>
        <v>264.33425235966837</v>
      </c>
      <c r="F25" s="29">
        <f>IFERROR(IF(E26="",E25+(MAX('Кормовой бюджет'!$C$24:$J$24)-E25),E25),"")</f>
        <v>120</v>
      </c>
      <c r="G25" s="31">
        <f>IF(E25="","",SUM('Curve-Mixed'!Q137:Q143))</f>
        <v>7.5981971265039752</v>
      </c>
      <c r="H25" s="31">
        <f t="shared" si="7"/>
        <v>7.5981971265039752</v>
      </c>
      <c r="I25" s="122">
        <f t="shared" si="1"/>
        <v>2.3419327929095175</v>
      </c>
      <c r="J25" s="122">
        <f t="shared" si="8"/>
        <v>3.2444129692826493</v>
      </c>
      <c r="K25" s="122">
        <f t="shared" si="9"/>
        <v>1.8739292285714606</v>
      </c>
      <c r="L25" s="31">
        <f>IF(G25="","",SUM($G$5:$G25))</f>
        <v>609.54591515178129</v>
      </c>
      <c r="M25" s="122">
        <f t="shared" si="10"/>
        <v>2.3234065233404642</v>
      </c>
      <c r="N25" s="184"/>
      <c r="O25" s="92">
        <f t="shared" si="11"/>
        <v>1</v>
      </c>
      <c r="P25" s="92">
        <f>MAX('Curve-Barrows'!G137:G143)</f>
        <v>155</v>
      </c>
      <c r="Q25" s="92">
        <f t="shared" si="2"/>
        <v>155</v>
      </c>
      <c r="R25" s="92">
        <f t="shared" si="12"/>
        <v>21</v>
      </c>
      <c r="S25" s="29">
        <f>IFERROR(VLOOKUP(Q25,'Curve-Barrows'!$G$2:$R$185,12,FALSE),"")</f>
        <v>272.97415172861133</v>
      </c>
      <c r="T25" s="29">
        <f>IFERROR(IF(S26="",S25+(MAX('Кормовой бюджет'!$C$38:$J$38)-S25),S25),"")</f>
        <v>123.8688535564965</v>
      </c>
      <c r="U25" s="31">
        <f>IF(S25="","",SUM('Curve-Barrows'!Q137:Q143))</f>
        <v>8.1206930214950717</v>
      </c>
      <c r="V25" s="31">
        <f t="shared" si="13"/>
        <v>8.1206930214950717</v>
      </c>
      <c r="W25" s="122">
        <f t="shared" si="22"/>
        <v>2.4304589308309801</v>
      </c>
      <c r="X25" s="122">
        <f t="shared" si="14"/>
        <v>3.3412179561983324</v>
      </c>
      <c r="Y25" s="122">
        <f t="shared" si="25"/>
        <v>1.9393513629752799</v>
      </c>
      <c r="Z25" s="31">
        <f>IF(U25="","",SUM($U$5:$U25))</f>
        <v>648.05699112148204</v>
      </c>
      <c r="AA25" s="122">
        <f t="shared" si="16"/>
        <v>2.3868694432498203</v>
      </c>
      <c r="AB25" s="184"/>
      <c r="AC25" s="92">
        <f t="shared" si="17"/>
        <v>1</v>
      </c>
      <c r="AD25" s="92">
        <f>MAX('Curve-Gilts'!G137:G143)</f>
        <v>155</v>
      </c>
      <c r="AE25" s="92">
        <f t="shared" si="3"/>
        <v>155</v>
      </c>
      <c r="AF25" s="92">
        <f t="shared" si="18"/>
        <v>21</v>
      </c>
      <c r="AG25" s="29">
        <f>IFERROR(VLOOKUP(AE25,'Curve-Gilts'!$G$2:$R$185,12,FALSE),"")</f>
        <v>255.69557765703865</v>
      </c>
      <c r="AH25" s="29">
        <f>IFERROR(IF(AG26="",AG25+(MAX('Кормовой бюджет'!$C$43:$J$43)-AG25),AG25),"")</f>
        <v>122.77658254670939</v>
      </c>
      <c r="AI25" s="31">
        <f>IF(AG25="","",SUM('Curve-Gilts'!Q137:Q143))</f>
        <v>7.0928407747592406</v>
      </c>
      <c r="AJ25" s="31">
        <f t="shared" si="19"/>
        <v>7.0928407747592406</v>
      </c>
      <c r="AK25" s="122">
        <f t="shared" si="23"/>
        <v>2.2534066549879697</v>
      </c>
      <c r="AL25" s="122">
        <f t="shared" si="20"/>
        <v>3.1476079823670831</v>
      </c>
      <c r="AM25" s="122">
        <f t="shared" si="26"/>
        <v>1.8085070941676396</v>
      </c>
      <c r="AN25" s="31">
        <f>IF(AI25="","",SUM($AI$5:$AI25))</f>
        <v>572.32067969339482</v>
      </c>
      <c r="AO25" s="122">
        <f t="shared" si="24"/>
        <v>2.2604306436709405</v>
      </c>
    </row>
    <row r="26" spans="1:41" x14ac:dyDescent="0.25">
      <c r="A26" s="92" t="str">
        <f t="shared" si="5"/>
        <v/>
      </c>
      <c r="B26" s="92">
        <f>MAX('Curve-Mixed'!G144:G150)</f>
        <v>0</v>
      </c>
      <c r="C26" s="92" t="str">
        <f t="shared" si="0"/>
        <v/>
      </c>
      <c r="D26" s="161" t="str">
        <f t="shared" si="6"/>
        <v/>
      </c>
      <c r="E26" s="29" t="str">
        <f>IFERROR(VLOOKUP(C26,'Curve-Mixed'!$G$2:$R$185,12,FALSE),"")</f>
        <v/>
      </c>
      <c r="F26" s="29" t="str">
        <f>IFERROR(IF(E27="",E26+(MAX('Кормовой бюджет'!$C$24:$J$24)-E26),E26),"")</f>
        <v/>
      </c>
      <c r="G26" s="165" t="str">
        <f>IF(E26="","",SUM('Curve-Mixed'!Q144:Q150))</f>
        <v/>
      </c>
      <c r="H26" s="31" t="str">
        <f t="shared" si="7"/>
        <v/>
      </c>
      <c r="I26" s="122" t="str">
        <f t="shared" si="1"/>
        <v/>
      </c>
      <c r="J26" s="122" t="str">
        <f t="shared" si="8"/>
        <v/>
      </c>
      <c r="K26" s="122" t="str">
        <f t="shared" si="9"/>
        <v/>
      </c>
      <c r="L26" s="31" t="str">
        <f>IF(G26="","",SUM($G$5:$G26))</f>
        <v/>
      </c>
      <c r="M26" s="122" t="str">
        <f t="shared" si="10"/>
        <v/>
      </c>
      <c r="N26" s="184"/>
      <c r="O26" s="92" t="str">
        <f t="shared" si="11"/>
        <v/>
      </c>
      <c r="P26" s="92">
        <f>MAX('Curve-Barrows'!G144:G150)</f>
        <v>0</v>
      </c>
      <c r="Q26" s="92" t="str">
        <f t="shared" si="2"/>
        <v/>
      </c>
      <c r="R26" s="92" t="str">
        <f t="shared" si="12"/>
        <v/>
      </c>
      <c r="S26" s="29" t="str">
        <f>IFERROR(VLOOKUP(Q26,'Curve-Barrows'!$G$2:$R$185,12,FALSE),"")</f>
        <v/>
      </c>
      <c r="T26" s="29" t="str">
        <f>IFERROR(IF(S27="",S26+(MAX('Кормовой бюджет'!$C$38:$J$38)-S26),S26),"")</f>
        <v/>
      </c>
      <c r="U26" s="31" t="str">
        <f>IF(S26="","",SUM('Curve-Barrows'!Q144:Q150))</f>
        <v/>
      </c>
      <c r="V26" s="31" t="str">
        <f t="shared" si="13"/>
        <v/>
      </c>
      <c r="W26" s="122" t="str">
        <f t="shared" si="22"/>
        <v/>
      </c>
      <c r="X26" s="122" t="str">
        <f t="shared" si="14"/>
        <v/>
      </c>
      <c r="Y26" s="122" t="str">
        <f t="shared" si="25"/>
        <v/>
      </c>
      <c r="Z26" s="31" t="str">
        <f>IF(U26="","",SUM($U$5:$U26))</f>
        <v/>
      </c>
      <c r="AA26" s="122" t="str">
        <f t="shared" si="16"/>
        <v/>
      </c>
      <c r="AB26" s="184"/>
      <c r="AC26" s="92" t="str">
        <f t="shared" si="17"/>
        <v/>
      </c>
      <c r="AD26" s="92">
        <f>MAX('Curve-Gilts'!G144:G150)</f>
        <v>0</v>
      </c>
      <c r="AE26" s="92" t="str">
        <f t="shared" si="3"/>
        <v/>
      </c>
      <c r="AF26" s="92" t="str">
        <f t="shared" si="18"/>
        <v/>
      </c>
      <c r="AG26" s="29" t="str">
        <f>IFERROR(VLOOKUP(AE26,'Curve-Gilts'!$G$2:$R$185,12,FALSE),"")</f>
        <v/>
      </c>
      <c r="AH26" s="29" t="str">
        <f>IFERROR(IF(AG27="",AG26+(MAX('Кормовой бюджет'!$C$43:$J$43)-AG26),AG26),"")</f>
        <v/>
      </c>
      <c r="AI26" s="31" t="str">
        <f>IF(AG26="","",SUM('Curve-Gilts'!Q144:Q150))</f>
        <v/>
      </c>
      <c r="AJ26" s="31" t="str">
        <f t="shared" si="19"/>
        <v/>
      </c>
      <c r="AK26" s="122" t="str">
        <f t="shared" si="23"/>
        <v/>
      </c>
      <c r="AL26" s="122" t="str">
        <f t="shared" si="20"/>
        <v/>
      </c>
      <c r="AM26" s="122" t="str">
        <f t="shared" si="26"/>
        <v/>
      </c>
      <c r="AN26" s="31" t="str">
        <f>IF(AI26="","",SUM($AI$5:$AI26))</f>
        <v/>
      </c>
      <c r="AO26" s="122" t="str">
        <f t="shared" si="24"/>
        <v/>
      </c>
    </row>
    <row r="27" spans="1:41" x14ac:dyDescent="0.25">
      <c r="A27" s="92" t="str">
        <f t="shared" si="5"/>
        <v/>
      </c>
      <c r="B27" s="92">
        <f>MAX('Curve-Mixed'!G151:G157)</f>
        <v>0</v>
      </c>
      <c r="C27" s="92" t="str">
        <f t="shared" si="0"/>
        <v/>
      </c>
      <c r="D27" s="161" t="str">
        <f t="shared" si="6"/>
        <v/>
      </c>
      <c r="E27" s="29" t="str">
        <f>IFERROR(VLOOKUP(C27,'Curve-Mixed'!$G$2:$R$185,12,FALSE),"")</f>
        <v/>
      </c>
      <c r="F27" s="29" t="str">
        <f>IFERROR(IF(E28="",E27+(MAX('Кормовой бюджет'!$C$24:$J$24)-E27),E27),"")</f>
        <v/>
      </c>
      <c r="G27" s="165" t="str">
        <f>IF(E27="","",SUM('Curve-Mixed'!Q151:Q157))</f>
        <v/>
      </c>
      <c r="H27" s="31" t="str">
        <f t="shared" si="7"/>
        <v/>
      </c>
      <c r="I27" s="122" t="str">
        <f t="shared" si="1"/>
        <v/>
      </c>
      <c r="J27" s="122" t="str">
        <f t="shared" si="8"/>
        <v/>
      </c>
      <c r="K27" s="122" t="str">
        <f t="shared" si="9"/>
        <v/>
      </c>
      <c r="L27" s="31" t="str">
        <f>IF(G27="","",SUM($G$5:$G27))</f>
        <v/>
      </c>
      <c r="M27" s="122" t="str">
        <f t="shared" si="10"/>
        <v/>
      </c>
      <c r="N27" s="184"/>
      <c r="O27" s="92" t="str">
        <f t="shared" si="11"/>
        <v/>
      </c>
      <c r="P27" s="92">
        <f>MAX('Curve-Barrows'!G151:G157)</f>
        <v>0</v>
      </c>
      <c r="Q27" s="92" t="str">
        <f t="shared" si="2"/>
        <v/>
      </c>
      <c r="R27" s="92" t="str">
        <f t="shared" si="12"/>
        <v/>
      </c>
      <c r="S27" s="29" t="str">
        <f>IFERROR(VLOOKUP(Q27,'Curve-Barrows'!$G$2:$R$185,12,FALSE),"")</f>
        <v/>
      </c>
      <c r="T27" s="29" t="str">
        <f>IFERROR(IF(S28="",S27+(MAX('Кормовой бюджет'!$C$38:$J$38)-S27),S27),"")</f>
        <v/>
      </c>
      <c r="U27" s="31" t="str">
        <f>IF(S27="","",SUM('Curve-Barrows'!Q151:Q157))</f>
        <v/>
      </c>
      <c r="V27" s="31" t="str">
        <f t="shared" si="13"/>
        <v/>
      </c>
      <c r="W27" s="122" t="str">
        <f t="shared" si="22"/>
        <v/>
      </c>
      <c r="X27" s="122" t="str">
        <f t="shared" si="14"/>
        <v/>
      </c>
      <c r="Y27" s="122" t="str">
        <f t="shared" si="25"/>
        <v/>
      </c>
      <c r="Z27" s="31" t="str">
        <f>IF(U27="","",SUM($U$5:$U27))</f>
        <v/>
      </c>
      <c r="AA27" s="122" t="str">
        <f t="shared" si="16"/>
        <v/>
      </c>
      <c r="AB27" s="184"/>
      <c r="AC27" s="92" t="str">
        <f t="shared" si="17"/>
        <v/>
      </c>
      <c r="AD27" s="92">
        <f>MAX('Curve-Gilts'!G151:G157)</f>
        <v>0</v>
      </c>
      <c r="AE27" s="92" t="str">
        <f t="shared" si="3"/>
        <v/>
      </c>
      <c r="AF27" s="92" t="str">
        <f t="shared" si="18"/>
        <v/>
      </c>
      <c r="AG27" s="29" t="str">
        <f>IFERROR(VLOOKUP(AE27,'Curve-Gilts'!$G$2:$R$185,12,FALSE),"")</f>
        <v/>
      </c>
      <c r="AH27" s="29" t="str">
        <f>IFERROR(IF(AG28="",AG27+(MAX('Кормовой бюджет'!$C$43:$J$43)-AG27),AG27),"")</f>
        <v/>
      </c>
      <c r="AI27" s="31" t="str">
        <f>IF(AG27="","",SUM('Curve-Gilts'!Q151:Q157))</f>
        <v/>
      </c>
      <c r="AJ27" s="31" t="str">
        <f t="shared" si="19"/>
        <v/>
      </c>
      <c r="AK27" s="122" t="str">
        <f t="shared" si="23"/>
        <v/>
      </c>
      <c r="AL27" s="122" t="str">
        <f t="shared" si="20"/>
        <v/>
      </c>
      <c r="AM27" s="122" t="str">
        <f>IF(AG27="","",(AG27-$AG$5)/(AE27-$AE$5))</f>
        <v/>
      </c>
      <c r="AN27" s="31" t="str">
        <f>IF(AI27="","",SUM($AI$5:$AI27))</f>
        <v/>
      </c>
      <c r="AO27" s="122" t="str">
        <f t="shared" si="24"/>
        <v/>
      </c>
    </row>
    <row r="28" spans="1:41" x14ac:dyDescent="0.25">
      <c r="A28" s="92" t="str">
        <f t="shared" si="5"/>
        <v/>
      </c>
      <c r="B28" s="92">
        <f>MAX('Curve-Mixed'!G158:G164)</f>
        <v>0</v>
      </c>
      <c r="C28" s="92" t="str">
        <f t="shared" si="0"/>
        <v/>
      </c>
      <c r="D28" s="161" t="str">
        <f t="shared" si="6"/>
        <v/>
      </c>
      <c r="E28" s="29" t="str">
        <f>IFERROR(VLOOKUP(C28,'Curve-Mixed'!$G$2:$R$185,12,FALSE),"")</f>
        <v/>
      </c>
      <c r="F28" s="29" t="str">
        <f>IFERROR(IF(E29="",E28+(MAX('Кормовой бюджет'!$C$24:$J$24)-E28),E28),"")</f>
        <v/>
      </c>
      <c r="G28" s="165" t="str">
        <f>IF(E28="","",SUM('Curve-Mixed'!Q158:Q164))</f>
        <v/>
      </c>
      <c r="H28" s="31" t="str">
        <f t="shared" si="7"/>
        <v/>
      </c>
      <c r="I28" s="122" t="str">
        <f t="shared" si="1"/>
        <v/>
      </c>
      <c r="J28" s="122" t="str">
        <f t="shared" si="8"/>
        <v/>
      </c>
      <c r="K28" s="122" t="str">
        <f t="shared" si="9"/>
        <v/>
      </c>
      <c r="L28" s="31" t="str">
        <f>IF(G28="","",SUM($G$5:$G28))</f>
        <v/>
      </c>
      <c r="M28" s="122" t="str">
        <f t="shared" si="10"/>
        <v/>
      </c>
      <c r="N28" s="184"/>
      <c r="O28" s="92" t="str">
        <f t="shared" si="11"/>
        <v/>
      </c>
      <c r="P28" s="92">
        <f>MAX('Curve-Barrows'!G158:G164)</f>
        <v>0</v>
      </c>
      <c r="Q28" s="92" t="str">
        <f t="shared" si="2"/>
        <v/>
      </c>
      <c r="R28" s="92" t="str">
        <f t="shared" si="12"/>
        <v/>
      </c>
      <c r="S28" s="29" t="str">
        <f>IFERROR(VLOOKUP(Q28,'Curve-Barrows'!$G$2:$R$185,12,FALSE),"")</f>
        <v/>
      </c>
      <c r="T28" s="29" t="str">
        <f>IFERROR(IF(S29="",S28+(MAX('Кормовой бюджет'!$C$38:$J$38)-S28),S28),"")</f>
        <v/>
      </c>
      <c r="U28" s="165" t="str">
        <f>IF(S28="","",SUM('Curve-Barrows'!Q158:Q164))</f>
        <v/>
      </c>
      <c r="V28" s="31" t="str">
        <f t="shared" si="13"/>
        <v/>
      </c>
      <c r="W28" s="167" t="str">
        <f t="shared" si="22"/>
        <v/>
      </c>
      <c r="X28" s="122" t="str">
        <f t="shared" si="14"/>
        <v/>
      </c>
      <c r="Y28" s="122" t="str">
        <f t="shared" si="25"/>
        <v/>
      </c>
      <c r="Z28" s="165" t="str">
        <f>IF(U28="","",SUM($U$5:$U28))</f>
        <v/>
      </c>
      <c r="AA28" s="122" t="str">
        <f t="shared" si="16"/>
        <v/>
      </c>
      <c r="AB28" s="184"/>
      <c r="AC28" s="92" t="str">
        <f t="shared" si="17"/>
        <v/>
      </c>
      <c r="AD28" s="161">
        <f>MAX('Curve-Gilts'!G158:G164)</f>
        <v>0</v>
      </c>
      <c r="AE28" s="161" t="str">
        <f t="shared" si="3"/>
        <v/>
      </c>
      <c r="AF28" s="161" t="str">
        <f t="shared" si="18"/>
        <v/>
      </c>
      <c r="AG28" s="164" t="str">
        <f>IFERROR(VLOOKUP(AE28,'Curve-Gilts'!$G$2:$R$185,12,FALSE),"")</f>
        <v/>
      </c>
      <c r="AH28" s="29" t="str">
        <f>IFERROR(IF(AG29="",AG28+(MAX('Кормовой бюджет'!$C$43:$J$43)-AG28),AG28),"")</f>
        <v/>
      </c>
      <c r="AI28" s="165" t="str">
        <f>IF(AG28="","",SUM('Curve-Gilts'!Q158:Q164))</f>
        <v/>
      </c>
      <c r="AJ28" s="31" t="str">
        <f t="shared" si="19"/>
        <v/>
      </c>
      <c r="AK28" s="167" t="str">
        <f t="shared" si="23"/>
        <v/>
      </c>
      <c r="AL28" s="122" t="str">
        <f t="shared" si="20"/>
        <v/>
      </c>
      <c r="AM28" s="122" t="str">
        <f t="shared" si="26"/>
        <v/>
      </c>
      <c r="AN28" s="31" t="str">
        <f>IF(AI28="","",SUM($AI$5:$AI28))</f>
        <v/>
      </c>
      <c r="AO28" s="122" t="str">
        <f t="shared" si="24"/>
        <v/>
      </c>
    </row>
    <row r="29" spans="1:41" x14ac:dyDescent="0.25">
      <c r="A29" s="92" t="str">
        <f t="shared" si="5"/>
        <v/>
      </c>
      <c r="B29" s="92">
        <f>MAX('Curve-Mixed'!G165:G171)</f>
        <v>0</v>
      </c>
      <c r="C29" s="92" t="str">
        <f t="shared" si="0"/>
        <v/>
      </c>
      <c r="D29" s="161" t="str">
        <f t="shared" si="6"/>
        <v/>
      </c>
      <c r="E29" s="29" t="str">
        <f>IFERROR(VLOOKUP(C29,'Curve-Mixed'!$G$2:$R$185,12,FALSE),"")</f>
        <v/>
      </c>
      <c r="F29" s="29" t="str">
        <f>IFERROR(IF(E30="",E29+(MAX('Кормовой бюджет'!$C$24:$J$24)-E29),E29),"")</f>
        <v/>
      </c>
      <c r="G29" s="165" t="str">
        <f>IF(E29="","",SUM('Curve-Mixed'!Q165:Q171))</f>
        <v/>
      </c>
      <c r="H29" s="31" t="str">
        <f t="shared" si="7"/>
        <v/>
      </c>
      <c r="I29" s="122" t="str">
        <f t="shared" si="1"/>
        <v/>
      </c>
      <c r="J29" s="122" t="str">
        <f t="shared" si="8"/>
        <v/>
      </c>
      <c r="K29" s="122" t="str">
        <f t="shared" si="9"/>
        <v/>
      </c>
      <c r="L29" s="31" t="str">
        <f>IF(G29="","",SUM($G$5:$G29))</f>
        <v/>
      </c>
      <c r="M29" s="122" t="str">
        <f t="shared" si="10"/>
        <v/>
      </c>
      <c r="N29" s="184"/>
      <c r="O29" s="92" t="str">
        <f t="shared" si="11"/>
        <v/>
      </c>
      <c r="P29" s="92">
        <f>MAX('Curve-Barrows'!G165:G171)</f>
        <v>0</v>
      </c>
      <c r="Q29" s="92" t="str">
        <f t="shared" si="2"/>
        <v/>
      </c>
      <c r="R29" s="92" t="str">
        <f t="shared" si="12"/>
        <v/>
      </c>
      <c r="S29" s="29" t="str">
        <f>IFERROR(VLOOKUP(Q29,'Curve-Barrows'!$G$2:$R$185,12,FALSE),"")</f>
        <v/>
      </c>
      <c r="T29" s="29" t="str">
        <f>IFERROR(IF(S30="",S29+(MAX('Кормовой бюджет'!$C$38:$J$38)-S29),S29),"")</f>
        <v/>
      </c>
      <c r="U29" s="165" t="str">
        <f>IF(S29="","",SUM('Curve-Barrows'!Q165:Q171))</f>
        <v/>
      </c>
      <c r="V29" s="31" t="str">
        <f t="shared" si="13"/>
        <v/>
      </c>
      <c r="W29" s="167" t="str">
        <f t="shared" si="22"/>
        <v/>
      </c>
      <c r="X29" s="122" t="str">
        <f t="shared" si="14"/>
        <v/>
      </c>
      <c r="Y29" s="122" t="str">
        <f t="shared" si="25"/>
        <v/>
      </c>
      <c r="Z29" s="165" t="str">
        <f>IF(U29="","",SUM($U$5:$U29))</f>
        <v/>
      </c>
      <c r="AA29" s="122" t="str">
        <f t="shared" si="16"/>
        <v/>
      </c>
      <c r="AB29" s="184"/>
      <c r="AC29" s="92" t="str">
        <f t="shared" si="17"/>
        <v/>
      </c>
      <c r="AD29" s="161">
        <f>MAX('Curve-Gilts'!G165:G171)</f>
        <v>0</v>
      </c>
      <c r="AE29" s="161" t="str">
        <f t="shared" si="3"/>
        <v/>
      </c>
      <c r="AF29" s="161" t="str">
        <f t="shared" si="18"/>
        <v/>
      </c>
      <c r="AG29" s="164" t="str">
        <f>IFERROR(VLOOKUP(AE29,'Curve-Gilts'!$G$2:$R$185,12,FALSE),"")</f>
        <v/>
      </c>
      <c r="AH29" s="29" t="str">
        <f>IFERROR(IF(AG30="",AG29+(MAX('Кормовой бюджет'!$C$43:$J$43)-AG29),AG29),"")</f>
        <v/>
      </c>
      <c r="AI29" s="165" t="str">
        <f>IF(AG29="","",SUM('Curve-Gilts'!Q165:Q171))</f>
        <v/>
      </c>
      <c r="AJ29" s="31" t="str">
        <f t="shared" si="19"/>
        <v/>
      </c>
      <c r="AK29" s="167" t="str">
        <f t="shared" si="23"/>
        <v/>
      </c>
      <c r="AL29" s="122" t="str">
        <f t="shared" si="20"/>
        <v/>
      </c>
      <c r="AM29" s="122" t="str">
        <f t="shared" si="26"/>
        <v/>
      </c>
      <c r="AN29" s="31" t="str">
        <f>IF(AI29="","",SUM($AI$5:$AI29))</f>
        <v/>
      </c>
      <c r="AO29" s="122" t="str">
        <f t="shared" si="24"/>
        <v/>
      </c>
    </row>
    <row r="30" spans="1:41" x14ac:dyDescent="0.25">
      <c r="A30" s="92" t="str">
        <f t="shared" si="5"/>
        <v/>
      </c>
      <c r="B30" s="92">
        <f>MAX('Curve-Mixed'!G172:G178)</f>
        <v>0</v>
      </c>
      <c r="C30" s="92" t="str">
        <f t="shared" si="0"/>
        <v/>
      </c>
      <c r="D30" s="161" t="str">
        <f>IF(E30="","",D29+1)</f>
        <v/>
      </c>
      <c r="E30" s="29" t="str">
        <f>IFERROR(VLOOKUP(C30,'Curve-Mixed'!$G$2:$R$185,12,FALSE),"")</f>
        <v/>
      </c>
      <c r="F30" s="29" t="str">
        <f>IFERROR(IF(E31="",E30+(MAX('Кормовой бюджет'!$C$24:$J$24)-E30),E30),"")</f>
        <v/>
      </c>
      <c r="G30" s="165" t="str">
        <f>IF(E30="","",SUM('Curve-Mixed'!Q172:Q178))</f>
        <v/>
      </c>
      <c r="H30" s="31" t="str">
        <f t="shared" si="7"/>
        <v/>
      </c>
      <c r="I30" s="122" t="str">
        <f t="shared" si="1"/>
        <v/>
      </c>
      <c r="J30" s="122" t="str">
        <f t="shared" si="8"/>
        <v/>
      </c>
      <c r="K30" s="122" t="str">
        <f t="shared" si="9"/>
        <v/>
      </c>
      <c r="L30" s="31" t="str">
        <f>IF(G30="","",SUM($G$5:$G30))</f>
        <v/>
      </c>
      <c r="M30" s="122" t="str">
        <f t="shared" si="10"/>
        <v/>
      </c>
      <c r="N30" s="184"/>
      <c r="O30" s="92" t="str">
        <f t="shared" si="11"/>
        <v/>
      </c>
      <c r="P30" s="92">
        <f>MAX('Curve-Barrows'!G172:G178)</f>
        <v>0</v>
      </c>
      <c r="Q30" s="92" t="str">
        <f t="shared" si="2"/>
        <v/>
      </c>
      <c r="R30" s="92" t="str">
        <f t="shared" si="12"/>
        <v/>
      </c>
      <c r="S30" s="29" t="str">
        <f>IFERROR(VLOOKUP(Q30,'Curve-Barrows'!$G$2:$R$185,12,FALSE),"")</f>
        <v/>
      </c>
      <c r="T30" s="29" t="str">
        <f>IFERROR(IF(S31="",S30+(MAX('Кормовой бюджет'!$C$38:$J$38)-S30),S30),"")</f>
        <v/>
      </c>
      <c r="U30" s="165" t="str">
        <f>IF(S30="","",SUM('Curve-Barrows'!Q172:Q178))</f>
        <v/>
      </c>
      <c r="V30" s="31" t="str">
        <f t="shared" si="13"/>
        <v/>
      </c>
      <c r="W30" s="167" t="str">
        <f>IF(R30="","",((S30/7)/U30))</f>
        <v/>
      </c>
      <c r="X30" s="122" t="str">
        <f t="shared" si="14"/>
        <v/>
      </c>
      <c r="Y30" s="122" t="str">
        <f t="shared" si="25"/>
        <v/>
      </c>
      <c r="Z30" s="165" t="str">
        <f>IF(U30="","",SUM($U$5:$U30))</f>
        <v/>
      </c>
      <c r="AA30" s="122" t="str">
        <f t="shared" si="16"/>
        <v/>
      </c>
      <c r="AB30" s="184"/>
      <c r="AC30" s="92" t="str">
        <f t="shared" si="17"/>
        <v/>
      </c>
      <c r="AD30" s="161">
        <f>MAX('Curve-Gilts'!G172:G178)</f>
        <v>0</v>
      </c>
      <c r="AE30" s="161" t="str">
        <f t="shared" si="3"/>
        <v/>
      </c>
      <c r="AF30" s="161" t="str">
        <f t="shared" si="18"/>
        <v/>
      </c>
      <c r="AG30" s="164" t="str">
        <f>IFERROR(VLOOKUP(AE30,'Curve-Gilts'!$G$2:$R$185,12,FALSE),"")</f>
        <v/>
      </c>
      <c r="AH30" s="29" t="str">
        <f>IFERROR(IF(AG31="",AG30+(MAX('Кормовой бюджет'!$C$43:$J$43)-AG30),AG30),"")</f>
        <v/>
      </c>
      <c r="AI30" s="165" t="str">
        <f>IF(AG30="","",SUM('Curve-Gilts'!Q172:Q178))</f>
        <v/>
      </c>
      <c r="AJ30" s="31" t="str">
        <f t="shared" si="19"/>
        <v/>
      </c>
      <c r="AK30" s="167" t="str">
        <f t="shared" si="23"/>
        <v/>
      </c>
      <c r="AL30" s="122" t="str">
        <f t="shared" si="20"/>
        <v/>
      </c>
      <c r="AM30" s="122" t="str">
        <f t="shared" si="26"/>
        <v/>
      </c>
      <c r="AN30" s="31" t="str">
        <f>IF(AI30="","",SUM($AI$5:$AI30))</f>
        <v/>
      </c>
      <c r="AO30" s="122" t="str">
        <f>IF(AG30="","",AN30/(AM30*7*AF29))</f>
        <v/>
      </c>
    </row>
    <row r="31" spans="1:41" s="180" customFormat="1" ht="15.75" thickBot="1" x14ac:dyDescent="0.3">
      <c r="A31" s="174" t="str">
        <f t="shared" si="5"/>
        <v/>
      </c>
      <c r="B31" s="174">
        <f>MAX('Curve-Mixed'!G179:G185)</f>
        <v>0</v>
      </c>
      <c r="C31" s="174" t="str">
        <f t="shared" si="0"/>
        <v/>
      </c>
      <c r="D31" s="175" t="str">
        <f t="shared" si="6"/>
        <v/>
      </c>
      <c r="E31" s="176" t="str">
        <f>IFERROR(VLOOKUP(C31,'Curve-Mixed'!$G$2:$R$185,12,FALSE),"")</f>
        <v/>
      </c>
      <c r="F31" s="176" t="str">
        <f>IFERROR(IF(E32="",E31+(MAX('Кормовой бюджет'!$C$24:$J$24)-E31),E31),"")</f>
        <v/>
      </c>
      <c r="G31" s="177" t="str">
        <f>IF(E31="","",SUM('Curve-Mixed'!Q179:Q185))</f>
        <v/>
      </c>
      <c r="H31" s="181" t="str">
        <f t="shared" si="7"/>
        <v/>
      </c>
      <c r="I31" s="178" t="str">
        <f>IF(E31="","",(E31-E30)/(#REF!-B30))</f>
        <v/>
      </c>
      <c r="J31" s="179" t="str">
        <f t="shared" si="8"/>
        <v/>
      </c>
      <c r="K31" s="178" t="str">
        <f>IF(E31="","",(E31-$E$5)/(#REF!-$B$5))</f>
        <v/>
      </c>
      <c r="L31" s="177" t="str">
        <f>IF(G31="","",SUM($G$5:$G31))</f>
        <v/>
      </c>
      <c r="M31" s="179" t="str">
        <f t="shared" si="10"/>
        <v/>
      </c>
      <c r="N31" s="178"/>
      <c r="O31" s="174" t="str">
        <f t="shared" si="11"/>
        <v/>
      </c>
      <c r="P31" s="174">
        <f>MAX('Curve-Barrows'!G179:G185)</f>
        <v>0</v>
      </c>
      <c r="Q31" s="174" t="str">
        <f t="shared" si="2"/>
        <v/>
      </c>
      <c r="R31" s="174" t="str">
        <f t="shared" si="12"/>
        <v/>
      </c>
      <c r="S31" s="176" t="str">
        <f>IFERROR(VLOOKUP(Q31,'Curve-Barrows'!$G$2:$R$185,12,FALSE),"")</f>
        <v/>
      </c>
      <c r="T31" s="176" t="str">
        <f>IFERROR(IF(S32="",S31+(MAX('Кормовой бюджет'!$C$38:$J$38)-S31),S31),"")</f>
        <v/>
      </c>
      <c r="U31" s="181" t="str">
        <f>IF(S31="","",SUM('Curve-Barrows'!Q179:Q185))</f>
        <v/>
      </c>
      <c r="V31" s="181" t="str">
        <f t="shared" si="13"/>
        <v/>
      </c>
      <c r="W31" s="178" t="str">
        <f>IF(R31="","",((S31/7)/U31))</f>
        <v/>
      </c>
      <c r="X31" s="179" t="str">
        <f t="shared" si="14"/>
        <v/>
      </c>
      <c r="Y31" s="179" t="str">
        <f t="shared" si="25"/>
        <v/>
      </c>
      <c r="Z31" s="181" t="str">
        <f>IF(U31="","",SUM($U$5:$U31))</f>
        <v/>
      </c>
      <c r="AA31" s="179" t="str">
        <f t="shared" si="16"/>
        <v/>
      </c>
      <c r="AB31" s="178"/>
      <c r="AC31" s="174" t="str">
        <f>IFERROR(IF(AE31-AE30&lt;0,"",AE31-AE30),"")</f>
        <v/>
      </c>
      <c r="AD31" s="174">
        <f>MAX('Curve-Gilts'!G179:G185)</f>
        <v>0</v>
      </c>
      <c r="AE31" s="174" t="str">
        <f t="shared" si="3"/>
        <v/>
      </c>
      <c r="AF31" s="174" t="str">
        <f t="shared" si="18"/>
        <v/>
      </c>
      <c r="AG31" s="176" t="str">
        <f>IFERROR(VLOOKUP(AE31,'Curve-Gilts'!$G$2:$R$185,12,FALSE),"")</f>
        <v/>
      </c>
      <c r="AH31" s="176" t="str">
        <f>IFERROR(IF(AG32="",AG31+(MAX('Кормовой бюджет'!$C$43:$J$43)-AG31),AG31),"")</f>
        <v/>
      </c>
      <c r="AI31" s="181" t="str">
        <f>IF(AG31="","",SUM('Curve-Gilts'!Q179:Q185))</f>
        <v/>
      </c>
      <c r="AJ31" s="181" t="str">
        <f t="shared" si="19"/>
        <v/>
      </c>
      <c r="AK31" s="179" t="str">
        <f t="shared" si="23"/>
        <v/>
      </c>
      <c r="AL31" s="179" t="str">
        <f t="shared" si="20"/>
        <v/>
      </c>
      <c r="AM31" s="179" t="str">
        <f t="shared" si="26"/>
        <v/>
      </c>
      <c r="AN31" s="181" t="str">
        <f>IF(AI31="","",SUM($AI$5:$AI31))</f>
        <v/>
      </c>
      <c r="AO31" s="179" t="str">
        <f t="shared" si="24"/>
        <v/>
      </c>
    </row>
    <row r="32" spans="1:41" x14ac:dyDescent="0.25">
      <c r="C32" s="92"/>
      <c r="D32" s="92"/>
      <c r="E32" s="29"/>
      <c r="F32" s="29"/>
    </row>
    <row r="33" spans="3:6" x14ac:dyDescent="0.25">
      <c r="C33" s="92"/>
      <c r="D33" s="92"/>
      <c r="E33" s="29"/>
      <c r="F33" s="29"/>
    </row>
  </sheetData>
  <mergeCells count="39">
    <mergeCell ref="AN3:AN4"/>
    <mergeCell ref="AO3:AO4"/>
    <mergeCell ref="AE2:AO2"/>
    <mergeCell ref="AJ3:AJ4"/>
    <mergeCell ref="F3:F4"/>
    <mergeCell ref="C2:M2"/>
    <mergeCell ref="T3:T4"/>
    <mergeCell ref="Q2:AA2"/>
    <mergeCell ref="AH3:AH4"/>
    <mergeCell ref="C3:C4"/>
    <mergeCell ref="P3:P4"/>
    <mergeCell ref="AD3:AD4"/>
    <mergeCell ref="H3:H4"/>
    <mergeCell ref="V3:V4"/>
    <mergeCell ref="AE3:AE4"/>
    <mergeCell ref="AF3:AF4"/>
    <mergeCell ref="S3:S4"/>
    <mergeCell ref="U3:U4"/>
    <mergeCell ref="AK3:AK4"/>
    <mergeCell ref="AL3:AL4"/>
    <mergeCell ref="AM3:AM4"/>
    <mergeCell ref="AG3:AG4"/>
    <mergeCell ref="AI3:AI4"/>
    <mergeCell ref="AA3:AA4"/>
    <mergeCell ref="W3:W4"/>
    <mergeCell ref="X3:X4"/>
    <mergeCell ref="Y3:Y4"/>
    <mergeCell ref="Z3:Z4"/>
    <mergeCell ref="Q3:Q4"/>
    <mergeCell ref="R3:R4"/>
    <mergeCell ref="L3:L4"/>
    <mergeCell ref="M3:M4"/>
    <mergeCell ref="B3:B4"/>
    <mergeCell ref="D3:D4"/>
    <mergeCell ref="E3:E4"/>
    <mergeCell ref="G3:G4"/>
    <mergeCell ref="I3:I4"/>
    <mergeCell ref="J3:J4"/>
    <mergeCell ref="K3:K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29A03-0524-46BB-97BC-C54E72D78D83}">
  <sheetPr codeName="Sheet15"/>
  <dimension ref="A1:R191"/>
  <sheetViews>
    <sheetView zoomScaleNormal="100" workbookViewId="0">
      <selection activeCell="H2" sqref="H2"/>
    </sheetView>
  </sheetViews>
  <sheetFormatPr defaultRowHeight="15" x14ac:dyDescent="0.25"/>
  <cols>
    <col min="1" max="1" width="20.7109375" customWidth="1"/>
    <col min="2" max="2" width="12.5703125" customWidth="1"/>
    <col min="3" max="4" width="20.7109375" customWidth="1"/>
    <col min="5" max="5" width="15.85546875" customWidth="1"/>
    <col min="6" max="6" width="20.7109375" customWidth="1"/>
    <col min="8" max="8" width="20.7109375" customWidth="1"/>
    <col min="9" max="9" width="12.5703125" customWidth="1"/>
    <col min="10" max="11" width="20.7109375" customWidth="1"/>
    <col min="12" max="12" width="15.85546875" customWidth="1"/>
  </cols>
  <sheetData>
    <row r="1" spans="1:18" x14ac:dyDescent="0.25">
      <c r="A1" s="234" t="str">
        <f>'E-Mixed'!B1&amp;" - "&amp;'E-Mixed'!C1</f>
        <v>Mixed Gender - High energy diet</v>
      </c>
      <c r="B1" s="234"/>
      <c r="C1" s="234"/>
      <c r="D1" s="234"/>
      <c r="E1" s="234"/>
      <c r="F1" s="100"/>
      <c r="H1" s="235" t="str">
        <f>'E-Mixed'!I1&amp;" - "&amp;'E-Mixed'!J1</f>
        <v xml:space="preserve">Mixed Gender - Client </v>
      </c>
      <c r="I1" s="235"/>
      <c r="J1" s="235"/>
      <c r="K1" s="235"/>
      <c r="L1" s="235"/>
    </row>
    <row r="2" spans="1:18" x14ac:dyDescent="0.25">
      <c r="A2" s="132" t="str">
        <f>'E-Mixed'!B2</f>
        <v>Body Weight, kg</v>
      </c>
      <c r="B2" s="132" t="str">
        <f>'E-Mixed'!A2</f>
        <v>Age, d</v>
      </c>
      <c r="C2" s="132" t="str">
        <f>'E-Mixed'!C2</f>
        <v>Est. ADG, g/d</v>
      </c>
      <c r="D2" s="132" t="str">
        <f>'E-Mixed'!G2</f>
        <v>Ac. Feed intake, kg</v>
      </c>
      <c r="E2" s="132" t="str">
        <f>'E-Mixed'!D2</f>
        <v>Est. G:F</v>
      </c>
      <c r="F2" s="139"/>
      <c r="G2" t="s">
        <v>13</v>
      </c>
      <c r="H2" s="120" t="str">
        <f>A2</f>
        <v>Body Weight, kg</v>
      </c>
      <c r="I2" s="120" t="str">
        <f>B2</f>
        <v>Age, d</v>
      </c>
      <c r="J2" s="120" t="str">
        <f>C2</f>
        <v>Est. ADG, g/d</v>
      </c>
      <c r="K2" s="120" t="str">
        <f>D2</f>
        <v>Ac. Feed intake, kg</v>
      </c>
      <c r="L2" s="120" t="str">
        <f>E2</f>
        <v>Est. G:F</v>
      </c>
      <c r="M2" s="92" t="s">
        <v>74</v>
      </c>
      <c r="N2" t="s">
        <v>96</v>
      </c>
      <c r="P2" s="92" t="s">
        <v>65</v>
      </c>
      <c r="Q2" t="s">
        <v>106</v>
      </c>
      <c r="R2" t="s">
        <v>107</v>
      </c>
    </row>
    <row r="3" spans="1:18" x14ac:dyDescent="0.25">
      <c r="A3" s="28">
        <f>IF('E-Mixed'!A3&lt;'Adj-Mixed'!$B$10,'E-Mixed'!B3," ")</f>
        <v>5.9372718345589277</v>
      </c>
      <c r="B3" s="24">
        <f>IF('E-Mixed'!A3&lt;'Adj-Mixed'!$B$10,'E-Mixed'!A3," ")</f>
        <v>21</v>
      </c>
      <c r="C3" s="24"/>
      <c r="D3" s="24"/>
      <c r="E3" s="24"/>
      <c r="F3" s="92"/>
      <c r="G3" s="92">
        <f>IFERROR(I3,"")</f>
        <v>21</v>
      </c>
      <c r="H3" s="28">
        <f>IF('E-Mixed'!A3&lt;'Adj-Mixed'!$B$10,'E-Mixed'!I3," ")</f>
        <v>6</v>
      </c>
      <c r="I3" s="24">
        <f>IF('E-Mixed'!A3&lt;'Adj-Mixed'!$B$10,'E-Mixed'!A3," ")</f>
        <v>21</v>
      </c>
      <c r="J3" s="24"/>
      <c r="K3" s="24"/>
      <c r="L3" s="24"/>
      <c r="R3" s="106">
        <f>IFERROR(IF(H3&lt;0,"",CONVERT(H3,"kg", "lbm")),"")</f>
        <v>13.227735731092654</v>
      </c>
    </row>
    <row r="4" spans="1:18" x14ac:dyDescent="0.25">
      <c r="A4" s="28">
        <f>IF('E-Mixed'!A4&lt;'Adj-Mixed'!$B$10,'E-Mixed'!B4," ")</f>
        <v>6.0180857303653976</v>
      </c>
      <c r="B4" s="126">
        <f>IF('E-Mixed'!A4&lt;'Adj-Mixed'!$B$10,'E-Mixed'!A4," ")</f>
        <v>22</v>
      </c>
      <c r="C4" s="26">
        <f>IF('E-Mixed'!A4&lt;'Adj-Mixed'!$B$10,'E-Mixed'!C4," ")</f>
        <v>80.813895806469915</v>
      </c>
      <c r="D4" s="28">
        <f>IF('E-Mixed'!A4&lt;'Adj-Mixed'!$B$10,'E-Mixed'!G4," ")</f>
        <v>8.0544805209880596E-2</v>
      </c>
      <c r="E4" s="27">
        <f>IF('E-Mixed'!A4&lt;'Adj-Mixed'!$B$10,'E-Mixed'!D4," ")</f>
        <v>1.0033408808412787</v>
      </c>
      <c r="F4" s="92"/>
      <c r="G4" s="92">
        <f t="shared" ref="G4:G67" si="0">IFERROR(I4,"")</f>
        <v>22</v>
      </c>
      <c r="H4" s="28">
        <f>IF('E-Mixed'!A4&lt;'Adj-Mixed'!$B$10,'E-Mixed'!I4," ")</f>
        <v>6.0890879786902508</v>
      </c>
      <c r="I4" s="126">
        <f>IF('E-Mixed'!A4&lt;'Adj-Mixed'!$B$10,'E-Mixed'!A4," ")</f>
        <v>22</v>
      </c>
      <c r="J4" s="26">
        <f>IF('E-Mixed'!A4&lt;'Adj-Mixed'!$B$10,'E-Mixed'!J4," ")</f>
        <v>89.087978690251191</v>
      </c>
      <c r="K4" s="28">
        <f>IF('E-Mixed'!A4&lt;'Adj-Mixed'!$B$10,'E-Mixed'!N4," ")</f>
        <v>0.10001168226672545</v>
      </c>
      <c r="L4" s="27">
        <f>IF('E-Mixed'!A4&lt;'Adj-Mixed'!$B$10,'E-Mixed'!K4," ")</f>
        <v>0.89077572410649619</v>
      </c>
      <c r="M4" s="31">
        <f>IF('E-Mixed'!A4&lt;'Adj-Mixed'!$B$10,'E-Mixed'!M4," ")</f>
        <v>0.10001168226672545</v>
      </c>
      <c r="N4">
        <f>IF('E-Mixed'!A4&lt;'Adj-Mixed'!$B$10,1/L4," ")</f>
        <v>1.1226170324781388</v>
      </c>
      <c r="P4">
        <f>IFERROR(IF(J4&lt;0,"",CONVERT(J4,"g", "lbm")),"")</f>
        <v>0.19640537315530945</v>
      </c>
      <c r="Q4">
        <f>IFERROR(IF(M4&lt;0,"",CONVERT(M4,"kg", "lbm")),"")</f>
        <v>0.22048801717437497</v>
      </c>
      <c r="R4" s="106">
        <f t="shared" ref="R4:R67" si="1">IFERROR(IF(H4&lt;0,"",CONVERT(H4,"kg", "lbm")),"")</f>
        <v>13.424141104247964</v>
      </c>
    </row>
    <row r="5" spans="1:18" x14ac:dyDescent="0.25">
      <c r="A5" s="28">
        <f>IF('E-Mixed'!A5&lt;'Adj-Mixed'!$B$10,'E-Mixed'!B5," ")</f>
        <v>6.1225387460131131</v>
      </c>
      <c r="B5" s="126">
        <f>IF('E-Mixed'!A5&lt;'Adj-Mixed'!$B$10,'E-Mixed'!A5," ")</f>
        <v>23</v>
      </c>
      <c r="C5" s="26">
        <f>IF('E-Mixed'!A5&lt;'Adj-Mixed'!$B$10,'E-Mixed'!C5," ")</f>
        <v>104.45301564771547</v>
      </c>
      <c r="D5" s="28">
        <f>IF('E-Mixed'!A5&lt;'Adj-Mixed'!$B$10,'E-Mixed'!G5," ")</f>
        <v>0.18566074796636217</v>
      </c>
      <c r="E5" s="27">
        <f>IF('E-Mixed'!A5&lt;'Adj-Mixed'!$B$10,'E-Mixed'!D5," ")</f>
        <v>0.99369337237166022</v>
      </c>
      <c r="F5" s="92"/>
      <c r="G5" s="92">
        <f t="shared" si="0"/>
        <v>23</v>
      </c>
      <c r="H5" s="28">
        <f>IF('E-Mixed'!A5&lt;'Adj-Mixed'!$B$10,'E-Mixed'!I5," ")</f>
        <v>6.2042353545133473</v>
      </c>
      <c r="I5" s="126">
        <f>IF('E-Mixed'!A5&lt;'Adj-Mixed'!$B$10,'E-Mixed'!A5," ")</f>
        <v>23</v>
      </c>
      <c r="J5" s="26">
        <f>IF('E-Mixed'!A5&lt;'Adj-Mixed'!$B$10,'E-Mixed'!J5," ")</f>
        <v>115.14737582309647</v>
      </c>
      <c r="K5" s="28">
        <f>IF('E-Mixed'!A5&lt;'Adj-Mixed'!$B$10,'E-Mixed'!N5," ")</f>
        <v>0.23053310125501192</v>
      </c>
      <c r="L5" s="27">
        <f>IF('E-Mixed'!A5&lt;'Adj-Mixed'!$B$10,'E-Mixed'!K5," ")</f>
        <v>0.88221057291317262</v>
      </c>
      <c r="M5" s="31">
        <f>IF('E-Mixed'!A5&lt;'Adj-Mixed'!$B$10,'E-Mixed'!M5," ")</f>
        <v>0.13052141898828648</v>
      </c>
      <c r="N5">
        <f>IF('E-Mixed'!A5&lt;'Adj-Mixed'!$B$10,1/L5," ")</f>
        <v>1.1335162269682073</v>
      </c>
      <c r="P5">
        <f t="shared" ref="P5:P68" si="2">IFERROR(IF(J5&lt;0,"",CONVERT(J5,"g", "lbm")),"")</f>
        <v>0.25385650958612127</v>
      </c>
      <c r="Q5">
        <f t="shared" ref="Q5:Q68" si="3">IFERROR(IF(M5&lt;0,"",CONVERT(M5,"kg", "lbm")),"")</f>
        <v>0.28775047293737877</v>
      </c>
      <c r="R5" s="106">
        <f t="shared" si="1"/>
        <v>13.677997613834085</v>
      </c>
    </row>
    <row r="6" spans="1:18" x14ac:dyDescent="0.25">
      <c r="A6" s="28">
        <f>IF('E-Mixed'!A6&lt;'Adj-Mixed'!$B$10,'E-Mixed'!B6," ")</f>
        <v>6.2500680453153716</v>
      </c>
      <c r="B6" s="126">
        <f>IF('E-Mixed'!A6&lt;'Adj-Mixed'!$B$10,'E-Mixed'!A6," ")</f>
        <v>24</v>
      </c>
      <c r="C6" s="26">
        <f>IF('E-Mixed'!A6&lt;'Adj-Mixed'!$B$10,'E-Mixed'!C6," ")</f>
        <v>127.52929930225854</v>
      </c>
      <c r="D6" s="28">
        <f>IF('E-Mixed'!A6&lt;'Adj-Mixed'!$B$10,'E-Mixed'!G6," ")</f>
        <v>0.31523345736008584</v>
      </c>
      <c r="E6" s="27">
        <f>IF('E-Mixed'!A6&lt;'Adj-Mixed'!$B$10,'E-Mixed'!D6," ")</f>
        <v>0.98422962596811137</v>
      </c>
      <c r="F6" s="92"/>
      <c r="G6" s="92">
        <f t="shared" si="0"/>
        <v>24</v>
      </c>
      <c r="H6" s="28">
        <f>IF('E-Mixed'!A6&lt;'Adj-Mixed'!$B$10,'E-Mixed'!I6," ")</f>
        <v>6.3448216656327858</v>
      </c>
      <c r="I6" s="126">
        <f>IF('E-Mixed'!A6&lt;'Adj-Mixed'!$B$10,'E-Mixed'!A6," ")</f>
        <v>24</v>
      </c>
      <c r="J6" s="26">
        <f>IF('E-Mixed'!A6&lt;'Adj-Mixed'!$B$10,'E-Mixed'!J6," ")</f>
        <v>140.58631111943862</v>
      </c>
      <c r="K6" s="28">
        <f>IF('E-Mixed'!A6&lt;'Adj-Mixed'!$B$10,'E-Mixed'!N6," ")</f>
        <v>0.39142224374603152</v>
      </c>
      <c r="L6" s="27">
        <f>IF('E-Mixed'!A6&lt;'Adj-Mixed'!$B$10,'E-Mixed'!K6," ")</f>
        <v>0.87380856745684854</v>
      </c>
      <c r="M6" s="31">
        <f>IF('E-Mixed'!A6&lt;'Adj-Mixed'!$B$10,'E-Mixed'!M6," ")</f>
        <v>0.1608891424910196</v>
      </c>
      <c r="N6">
        <f>IF('E-Mixed'!A6&lt;'Adj-Mixed'!$B$10,1/L6," ")</f>
        <v>1.1444154214582969</v>
      </c>
      <c r="P6">
        <f t="shared" si="2"/>
        <v>0.30993976181618443</v>
      </c>
      <c r="Q6">
        <f t="shared" si="3"/>
        <v>0.35469984314555286</v>
      </c>
      <c r="R6" s="106">
        <f t="shared" si="1"/>
        <v>13.987937375650269</v>
      </c>
    </row>
    <row r="7" spans="1:18" x14ac:dyDescent="0.25">
      <c r="A7" s="28">
        <f>IF('E-Mixed'!A7&lt;'Adj-Mixed'!$B$10,'E-Mixed'!B7," ")</f>
        <v>6.4001107920854832</v>
      </c>
      <c r="B7" s="126">
        <f>IF('E-Mixed'!A7&lt;'Adj-Mixed'!$B$10,'E-Mixed'!A7," ")</f>
        <v>25</v>
      </c>
      <c r="C7" s="26">
        <f>IF('E-Mixed'!A7&lt;'Adj-Mixed'!$B$10,'E-Mixed'!C7," ")</f>
        <v>150.04274677011153</v>
      </c>
      <c r="D7" s="28">
        <f>IF('E-Mixed'!A7&lt;'Adj-Mixed'!$B$10,'E-Mixed'!G7," ")</f>
        <v>0.46913222378035713</v>
      </c>
      <c r="E7" s="27">
        <f>IF('E-Mixed'!A7&lt;'Adj-Mixed'!$B$10,'E-Mixed'!D7," ")</f>
        <v>0.97494444081747833</v>
      </c>
      <c r="F7" s="92"/>
      <c r="G7" s="92">
        <f t="shared" si="0"/>
        <v>25</v>
      </c>
      <c r="H7" s="28">
        <f>IF('E-Mixed'!A7&lt;'Adj-Mixed'!$B$10,'E-Mixed'!I7," ")</f>
        <v>6.5102264502120768</v>
      </c>
      <c r="I7" s="126">
        <f>IF('E-Mixed'!A7&lt;'Adj-Mixed'!$B$10,'E-Mixed'!A7," ")</f>
        <v>25</v>
      </c>
      <c r="J7" s="26">
        <f>IF('E-Mixed'!A7&lt;'Adj-Mixed'!$B$10,'E-Mixed'!J7," ")</f>
        <v>165.40478457929134</v>
      </c>
      <c r="K7" s="28">
        <f>IF('E-Mixed'!A7&lt;'Adj-Mixed'!$B$10,'E-Mixed'!N7," ")</f>
        <v>0.58251680891827751</v>
      </c>
      <c r="L7" s="27">
        <f>IF('E-Mixed'!A7&lt;'Adj-Mixed'!$B$10,'E-Mixed'!K7," ")</f>
        <v>0.86556509040537732</v>
      </c>
      <c r="M7" s="31">
        <f>IF('E-Mixed'!A7&lt;'Adj-Mixed'!$B$10,'E-Mixed'!M7," ")</f>
        <v>0.19109456517224596</v>
      </c>
      <c r="N7">
        <f>IF('E-Mixed'!A7&lt;'Adj-Mixed'!$B$10,1/L7," ")</f>
        <v>1.1553146159483647</v>
      </c>
      <c r="P7">
        <f t="shared" si="2"/>
        <v>0.36465512984552922</v>
      </c>
      <c r="Q7">
        <f t="shared" si="3"/>
        <v>0.42129140129108866</v>
      </c>
      <c r="R7" s="106">
        <f t="shared" si="1"/>
        <v>14.352592505495798</v>
      </c>
    </row>
    <row r="8" spans="1:18" x14ac:dyDescent="0.25">
      <c r="A8" s="28">
        <f>IF('E-Mixed'!A8&lt;'Adj-Mixed'!$B$10,'E-Mixed'!B8," ")</f>
        <v>6.572104150136747</v>
      </c>
      <c r="B8" s="126">
        <f>IF('E-Mixed'!A8&lt;'Adj-Mixed'!$B$10,'E-Mixed'!A8," ")</f>
        <v>26</v>
      </c>
      <c r="C8" s="26">
        <f>IF('E-Mixed'!A8&lt;'Adj-Mixed'!$B$10,'E-Mixed'!C8," ")</f>
        <v>171.99335805126381</v>
      </c>
      <c r="D8" s="28">
        <f>IF('E-Mixed'!A8&lt;'Adj-Mixed'!$B$10,'E-Mixed'!G8," ")</f>
        <v>0.64887427718743251</v>
      </c>
      <c r="E8" s="27">
        <f>IF('E-Mixed'!A8&lt;'Adj-Mixed'!$B$10,'E-Mixed'!D8," ")</f>
        <v>0.95688991413566415</v>
      </c>
      <c r="F8" s="92"/>
      <c r="G8" s="92">
        <f t="shared" si="0"/>
        <v>26</v>
      </c>
      <c r="H8" s="28">
        <f>IF('E-Mixed'!A8&lt;'Adj-Mixed'!$B$10,'E-Mixed'!I8," ")</f>
        <v>6.69982924641472</v>
      </c>
      <c r="I8" s="126">
        <f>IF('E-Mixed'!A8&lt;'Adj-Mixed'!$B$10,'E-Mixed'!A8," ")</f>
        <v>26</v>
      </c>
      <c r="J8" s="26">
        <f>IF('E-Mixed'!A8&lt;'Adj-Mixed'!$B$10,'E-Mixed'!J8," ")</f>
        <v>189.60279620264291</v>
      </c>
      <c r="K8" s="28">
        <f>IF('E-Mixed'!A8&lt;'Adj-Mixed'!$B$10,'E-Mixed'!N8," ")</f>
        <v>0.80570072609922283</v>
      </c>
      <c r="L8" s="27">
        <f>IF('E-Mixed'!A8&lt;'Adj-Mixed'!$B$10,'E-Mixed'!K8," ")</f>
        <v>0.84953610724971418</v>
      </c>
      <c r="M8" s="31">
        <f>IF('E-Mixed'!A8&lt;'Adj-Mixed'!$B$10,'E-Mixed'!M8," ")</f>
        <v>0.22318391718094535</v>
      </c>
      <c r="N8">
        <f>IF('E-Mixed'!A8&lt;'Adj-Mixed'!$B$10,1/L8," ")</f>
        <v>1.1771130049285334</v>
      </c>
      <c r="P8">
        <f t="shared" si="2"/>
        <v>0.41800261367412972</v>
      </c>
      <c r="Q8">
        <f t="shared" si="3"/>
        <v>0.49203631264993575</v>
      </c>
      <c r="R8" s="106">
        <f t="shared" si="1"/>
        <v>14.770595119169927</v>
      </c>
    </row>
    <row r="9" spans="1:18" x14ac:dyDescent="0.25">
      <c r="A9" s="28">
        <f>IF('E-Mixed'!A9&lt;'Adj-Mixed'!$B$10,'E-Mixed'!B9," ")</f>
        <v>6.7654852832824695</v>
      </c>
      <c r="B9" s="126">
        <f>IF('E-Mixed'!A9&lt;'Adj-Mixed'!$B$10,'E-Mixed'!A9," ")</f>
        <v>27</v>
      </c>
      <c r="C9" s="26">
        <f>IF('E-Mixed'!A9&lt;'Adj-Mixed'!$B$10,'E-Mixed'!C9," ")</f>
        <v>193.38113314572246</v>
      </c>
      <c r="D9" s="28">
        <f>IF('E-Mixed'!A9&lt;'Adj-Mixed'!$B$10,'E-Mixed'!G9," ")</f>
        <v>0.85363067810751203</v>
      </c>
      <c r="E9" s="27">
        <f>IF('E-Mixed'!A9&lt;'Adj-Mixed'!$B$10,'E-Mixed'!D9," ")</f>
        <v>0.94444487340448513</v>
      </c>
      <c r="F9" s="92"/>
      <c r="G9" s="92">
        <f t="shared" si="0"/>
        <v>27</v>
      </c>
      <c r="H9" s="28">
        <f>IF('E-Mixed'!A9&lt;'Adj-Mixed'!$B$10,'E-Mixed'!I9," ")</f>
        <v>6.9130095924042214</v>
      </c>
      <c r="I9" s="126">
        <f>IF('E-Mixed'!A9&lt;'Adj-Mixed'!$B$10,'E-Mixed'!A9," ")</f>
        <v>27</v>
      </c>
      <c r="J9" s="26">
        <f>IF('E-Mixed'!A9&lt;'Adj-Mixed'!$B$10,'E-Mixed'!J9," ")</f>
        <v>213.18034598950112</v>
      </c>
      <c r="K9" s="28">
        <f>IF('E-Mixed'!A9&lt;'Adj-Mixed'!$B$10,'E-Mixed'!N9," ")</f>
        <v>1.0599447094018901</v>
      </c>
      <c r="L9" s="27">
        <f>IF('E-Mixed'!A9&lt;'Adj-Mixed'!$B$10,'E-Mixed'!K9," ")</f>
        <v>0.8384872798964863</v>
      </c>
      <c r="M9" s="31">
        <f>IF('E-Mixed'!A9&lt;'Adj-Mixed'!$B$10,'E-Mixed'!M9," ")</f>
        <v>0.25424398330266723</v>
      </c>
      <c r="N9">
        <f>IF('E-Mixed'!A9&lt;'Adj-Mixed'!$B$10,1/L9," ")</f>
        <v>1.1926239359569688</v>
      </c>
      <c r="P9">
        <f t="shared" si="2"/>
        <v>0.46998221330200313</v>
      </c>
      <c r="Q9">
        <f t="shared" si="3"/>
        <v>0.56051203705800257</v>
      </c>
      <c r="R9" s="106">
        <f t="shared" si="1"/>
        <v>15.240577332471933</v>
      </c>
    </row>
    <row r="10" spans="1:18" x14ac:dyDescent="0.25">
      <c r="A10" s="28">
        <f>IF('E-Mixed'!A10&lt;'Adj-Mixed'!$B$10,'E-Mixed'!B10," ")</f>
        <v>6.9796913553359534</v>
      </c>
      <c r="B10" s="126">
        <f>IF('E-Mixed'!A10&lt;'Adj-Mixed'!$B$10,'E-Mixed'!A10," ")</f>
        <v>28</v>
      </c>
      <c r="C10" s="26">
        <f>IF('E-Mixed'!A10&lt;'Adj-Mixed'!$B$10,'E-Mixed'!C10," ")</f>
        <v>214.20607205348398</v>
      </c>
      <c r="D10" s="28">
        <f>IF('E-Mixed'!A10&lt;'Adj-Mixed'!$B$10,'E-Mixed'!G10," ")</f>
        <v>1.0834014265405956</v>
      </c>
      <c r="E10" s="27">
        <f>IF('E-Mixed'!A10&lt;'Adj-Mixed'!$B$10,'E-Mixed'!D10," ")</f>
        <v>0.93225997440604125</v>
      </c>
      <c r="F10" s="92"/>
      <c r="G10" s="92">
        <f t="shared" si="0"/>
        <v>28</v>
      </c>
      <c r="H10" s="28">
        <f>IF('E-Mixed'!A10&lt;'Adj-Mixed'!$B$10,'E-Mixed'!I10," ")</f>
        <v>7.1491470263440835</v>
      </c>
      <c r="I10" s="126">
        <f>IF('E-Mixed'!A10&lt;'Adj-Mixed'!$B$10,'E-Mixed'!A10," ")</f>
        <v>28</v>
      </c>
      <c r="J10" s="26">
        <f>IF('E-Mixed'!A10&lt;'Adj-Mixed'!$B$10,'E-Mixed'!J10," ")</f>
        <v>236.13743393986215</v>
      </c>
      <c r="K10" s="28">
        <f>IF('E-Mixed'!A10&lt;'Adj-Mixed'!$B$10,'E-Mixed'!N10," ")</f>
        <v>1.3452487588262794</v>
      </c>
      <c r="L10" s="27">
        <f>IF('E-Mixed'!A10&lt;'Adj-Mixed'!$B$10,'E-Mixed'!K10," ")</f>
        <v>0.82766940888598539</v>
      </c>
      <c r="M10" s="31">
        <f>IF('E-Mixed'!A10&lt;'Adj-Mixed'!$B$10,'E-Mixed'!M10," ")</f>
        <v>0.28530404942438914</v>
      </c>
      <c r="N10">
        <f>IF('E-Mixed'!A10&lt;'Adj-Mixed'!$B$10,1/L10," ")</f>
        <v>1.2082118648627664</v>
      </c>
      <c r="P10">
        <f t="shared" si="2"/>
        <v>0.52059392872914101</v>
      </c>
      <c r="Q10">
        <f t="shared" si="3"/>
        <v>0.62898776146606949</v>
      </c>
      <c r="R10" s="106">
        <f t="shared" si="1"/>
        <v>15.761171261201072</v>
      </c>
    </row>
    <row r="11" spans="1:18" x14ac:dyDescent="0.25">
      <c r="A11" s="28">
        <f>IF('E-Mixed'!A11&lt;'Adj-Mixed'!$B$10,'E-Mixed'!B11," ")</f>
        <v>7.2141595301105026</v>
      </c>
      <c r="B11" s="126">
        <f>IF('E-Mixed'!A11&lt;'Adj-Mixed'!$B$10,'E-Mixed'!A11," ")</f>
        <v>29</v>
      </c>
      <c r="C11" s="26">
        <f>IF('E-Mixed'!A11&lt;'Adj-Mixed'!$B$10,'E-Mixed'!C11," ")</f>
        <v>234.46817477454917</v>
      </c>
      <c r="D11" s="28">
        <f>IF('E-Mixed'!A11&lt;'Adj-Mixed'!$B$10,'E-Mixed'!G11," ")</f>
        <v>1.3381865224866845</v>
      </c>
      <c r="E11" s="27">
        <f>IF('E-Mixed'!A11&lt;'Adj-Mixed'!$B$10,'E-Mixed'!D11," ")</f>
        <v>0.92025859638258212</v>
      </c>
      <c r="F11" s="92"/>
      <c r="G11" s="92">
        <f t="shared" si="0"/>
        <v>29</v>
      </c>
      <c r="H11" s="28">
        <f>IF('E-Mixed'!A11&lt;'Adj-Mixed'!$B$10,'E-Mixed'!I11," ")</f>
        <v>7.4076210863978105</v>
      </c>
      <c r="I11" s="126">
        <f>IF('E-Mixed'!A11&lt;'Adj-Mixed'!$B$10,'E-Mixed'!A11," ")</f>
        <v>29</v>
      </c>
      <c r="J11" s="26">
        <f>IF('E-Mixed'!A11&lt;'Adj-Mixed'!$B$10,'E-Mixed'!J11," ")</f>
        <v>258.47406005372687</v>
      </c>
      <c r="K11" s="28">
        <f>IF('E-Mixed'!A11&lt;'Adj-Mixed'!$B$10,'E-Mixed'!N11," ")</f>
        <v>1.6616128743723904</v>
      </c>
      <c r="L11" s="27">
        <f>IF('E-Mixed'!A11&lt;'Adj-Mixed'!$B$10,'E-Mixed'!K11," ")</f>
        <v>0.8170144695694902</v>
      </c>
      <c r="M11" s="31">
        <f>IF('E-Mixed'!A11&lt;'Adj-Mixed'!$B$10,'E-Mixed'!M11," ")</f>
        <v>0.3163641155461111</v>
      </c>
      <c r="N11">
        <f>IF('E-Mixed'!A11&lt;'Adj-Mixed'!$B$10,1/L11," ")</f>
        <v>1.2239685308473551</v>
      </c>
      <c r="P11">
        <f t="shared" si="2"/>
        <v>0.5698377599555452</v>
      </c>
      <c r="Q11">
        <f t="shared" si="3"/>
        <v>0.69746348587413642</v>
      </c>
      <c r="R11" s="106">
        <f t="shared" si="1"/>
        <v>16.331009021156618</v>
      </c>
    </row>
    <row r="12" spans="1:18" x14ac:dyDescent="0.25">
      <c r="A12" s="28">
        <f>IF('E-Mixed'!A12&lt;'Adj-Mixed'!$B$10,'E-Mixed'!B12," ")</f>
        <v>7.4683269714194207</v>
      </c>
      <c r="B12" s="126">
        <f>IF('E-Mixed'!A12&lt;'Adj-Mixed'!$B$10,'E-Mixed'!A12," ")</f>
        <v>30</v>
      </c>
      <c r="C12" s="26">
        <f>IF('E-Mixed'!A12&lt;'Adj-Mixed'!$B$10,'E-Mixed'!C12," ")</f>
        <v>254.16744130891811</v>
      </c>
      <c r="D12" s="28">
        <f>IF('E-Mixed'!A12&lt;'Adj-Mixed'!$B$10,'E-Mixed'!G12," ")</f>
        <v>1.617985965945778</v>
      </c>
      <c r="E12" s="27">
        <f>IF('E-Mixed'!A12&lt;'Adj-Mixed'!$B$10,'E-Mixed'!D12," ")</f>
        <v>0.90839151846303523</v>
      </c>
      <c r="F12" s="92"/>
      <c r="G12" s="92">
        <f t="shared" si="0"/>
        <v>30</v>
      </c>
      <c r="H12" s="28">
        <f>IF('E-Mixed'!A12&lt;'Adj-Mixed'!$B$10,'E-Mixed'!I12," ")</f>
        <v>7.6878113107289057</v>
      </c>
      <c r="I12" s="126">
        <f>IF('E-Mixed'!A12&lt;'Adj-Mixed'!$B$10,'E-Mixed'!A12," ")</f>
        <v>30</v>
      </c>
      <c r="J12" s="26">
        <f>IF('E-Mixed'!A12&lt;'Adj-Mixed'!$B$10,'E-Mixed'!J12," ")</f>
        <v>280.19022433109529</v>
      </c>
      <c r="K12" s="28">
        <f>IF('E-Mixed'!A12&lt;'Adj-Mixed'!$B$10,'E-Mixed'!N12," ")</f>
        <v>2.0090370560402233</v>
      </c>
      <c r="L12" s="27">
        <f>IF('E-Mixed'!A12&lt;'Adj-Mixed'!$B$10,'E-Mixed'!K12," ")</f>
        <v>0.80647876318229594</v>
      </c>
      <c r="M12" s="31">
        <f>IF('E-Mixed'!A12&lt;'Adj-Mixed'!$B$10,'E-Mixed'!M12," ")</f>
        <v>0.34742418166783307</v>
      </c>
      <c r="N12">
        <f>IF('E-Mixed'!A12&lt;'Adj-Mixed'!$B$10,1/L12," ")</f>
        <v>1.2399582551362989</v>
      </c>
      <c r="P12">
        <f t="shared" si="2"/>
        <v>0.61771370698121597</v>
      </c>
      <c r="Q12">
        <f t="shared" si="3"/>
        <v>0.76593921028220358</v>
      </c>
      <c r="R12" s="106">
        <f t="shared" si="1"/>
        <v>16.948722728137835</v>
      </c>
    </row>
    <row r="13" spans="1:18" x14ac:dyDescent="0.25">
      <c r="A13" s="28">
        <f>IF('E-Mixed'!A13&lt;'Adj-Mixed'!$B$10,'E-Mixed'!B13," ")</f>
        <v>7.7416308430760115</v>
      </c>
      <c r="B13" s="126">
        <f>IF('E-Mixed'!A13&lt;'Adj-Mixed'!$B$10,'E-Mixed'!A13," ")</f>
        <v>31</v>
      </c>
      <c r="C13" s="26">
        <f>IF('E-Mixed'!A13&lt;'Adj-Mixed'!$B$10,'E-Mixed'!C13," ")</f>
        <v>273.30387165659079</v>
      </c>
      <c r="D13" s="28">
        <f>IF('E-Mixed'!A13&lt;'Adj-Mixed'!$B$10,'E-Mixed'!G13," ")</f>
        <v>1.9227997569178763</v>
      </c>
      <c r="E13" s="27">
        <f>IF('E-Mixed'!A13&lt;'Adj-Mixed'!$B$10,'E-Mixed'!D13," ")</f>
        <v>0.89662567689271067</v>
      </c>
      <c r="F13" s="92"/>
      <c r="G13" s="92">
        <f t="shared" si="0"/>
        <v>31</v>
      </c>
      <c r="H13" s="28">
        <f>IF('E-Mixed'!A13&lt;'Adj-Mixed'!$B$10,'E-Mixed'!I13," ")</f>
        <v>7.9890972375008733</v>
      </c>
      <c r="I13" s="126">
        <f>IF('E-Mixed'!A13&lt;'Adj-Mixed'!$B$10,'E-Mixed'!A13," ")</f>
        <v>31</v>
      </c>
      <c r="J13" s="26">
        <f>IF('E-Mixed'!A13&lt;'Adj-Mixed'!$B$10,'E-Mixed'!J13," ")</f>
        <v>301.28592677196752</v>
      </c>
      <c r="K13" s="28">
        <f>IF('E-Mixed'!A13&lt;'Adj-Mixed'!$B$10,'E-Mixed'!N13," ")</f>
        <v>2.3875213038297782</v>
      </c>
      <c r="L13" s="27">
        <f>IF('E-Mixed'!A13&lt;'Adj-Mixed'!$B$10,'E-Mixed'!K13," ")</f>
        <v>0.79603293540366471</v>
      </c>
      <c r="M13" s="31">
        <f>IF('E-Mixed'!A13&lt;'Adj-Mixed'!$B$10,'E-Mixed'!M13," ")</f>
        <v>0.37848424778955508</v>
      </c>
      <c r="N13">
        <f>IF('E-Mixed'!A13&lt;'Adj-Mixed'!$B$10,1/L13," ")</f>
        <v>1.2562294291164027</v>
      </c>
      <c r="P13">
        <f t="shared" si="2"/>
        <v>0.66422176980615333</v>
      </c>
      <c r="Q13">
        <f t="shared" si="3"/>
        <v>0.83441493469027062</v>
      </c>
      <c r="R13" s="106">
        <f t="shared" si="1"/>
        <v>17.612944497943985</v>
      </c>
    </row>
    <row r="14" spans="1:18" x14ac:dyDescent="0.25">
      <c r="A14" s="28">
        <f>IF('E-Mixed'!A14&lt;'Adj-Mixed'!$B$10,'E-Mixed'!B14," ")</f>
        <v>8.0335083088935804</v>
      </c>
      <c r="B14" s="126">
        <f>IF('E-Mixed'!A14&lt;'Adj-Mixed'!$B$10,'E-Mixed'!A14," ")</f>
        <v>32</v>
      </c>
      <c r="C14" s="26">
        <f>IF('E-Mixed'!A14&lt;'Adj-Mixed'!$B$10,'E-Mixed'!C14," ")</f>
        <v>291.87746581756892</v>
      </c>
      <c r="D14" s="28">
        <f>IF('E-Mixed'!A14&lt;'Adj-Mixed'!$B$10,'E-Mixed'!G14," ")</f>
        <v>2.2526278954029793</v>
      </c>
      <c r="E14" s="27">
        <f>IF('E-Mixed'!A14&lt;'Adj-Mixed'!$B$10,'E-Mixed'!D14," ")</f>
        <v>0.88493803821031825</v>
      </c>
      <c r="F14" s="92"/>
      <c r="G14" s="92">
        <f t="shared" si="0"/>
        <v>32</v>
      </c>
      <c r="H14" s="28">
        <f>IF('E-Mixed'!A14&lt;'Adj-Mixed'!$B$10,'E-Mixed'!I14," ")</f>
        <v>8.3108584048772194</v>
      </c>
      <c r="I14" s="126">
        <f>IF('E-Mixed'!A14&lt;'Adj-Mixed'!$B$10,'E-Mixed'!A14," ")</f>
        <v>32</v>
      </c>
      <c r="J14" s="26">
        <f>IF('E-Mixed'!A14&lt;'Adj-Mixed'!$B$10,'E-Mixed'!J14," ")</f>
        <v>321.76116737634538</v>
      </c>
      <c r="K14" s="28">
        <f>IF('E-Mixed'!A14&lt;'Adj-Mixed'!$B$10,'E-Mixed'!N14," ")</f>
        <v>2.7970656177410564</v>
      </c>
      <c r="L14" s="27">
        <f>IF('E-Mixed'!A14&lt;'Adj-Mixed'!$B$10,'E-Mixed'!K14," ")</f>
        <v>0.78565653690420978</v>
      </c>
      <c r="M14" s="31">
        <f>IF('E-Mixed'!A14&lt;'Adj-Mixed'!$B$10,'E-Mixed'!M14," ")</f>
        <v>0.4095443139112781</v>
      </c>
      <c r="N14">
        <f>IF('E-Mixed'!A14&lt;'Adj-Mixed'!$B$10,1/L14," ")</f>
        <v>1.2728208231301508</v>
      </c>
      <c r="P14">
        <f t="shared" si="2"/>
        <v>0.70936194843036127</v>
      </c>
      <c r="Q14">
        <f t="shared" si="3"/>
        <v>0.90289065909833999</v>
      </c>
      <c r="R14" s="106">
        <f t="shared" si="1"/>
        <v>18.322306446374352</v>
      </c>
    </row>
    <row r="15" spans="1:18" x14ac:dyDescent="0.25">
      <c r="A15" s="28">
        <f>IF('E-Mixed'!A15&lt;'Adj-Mixed'!$B$10,'E-Mixed'!B15," ")</f>
        <v>8.3433965326854285</v>
      </c>
      <c r="B15" s="126">
        <f>IF('E-Mixed'!A15&lt;'Adj-Mixed'!$B$10,'E-Mixed'!A15," ")</f>
        <v>33</v>
      </c>
      <c r="C15" s="26">
        <f>IF('E-Mixed'!A15&lt;'Adj-Mixed'!$B$10,'E-Mixed'!C15," ")</f>
        <v>309.88822379184808</v>
      </c>
      <c r="D15" s="28">
        <f>IF('E-Mixed'!A15&lt;'Adj-Mixed'!$B$10,'E-Mixed'!G15," ")</f>
        <v>2.6074703814010869</v>
      </c>
      <c r="E15" s="27">
        <f>IF('E-Mixed'!A15&lt;'Adj-Mixed'!$B$10,'E-Mixed'!D15," ")</f>
        <v>0.87331206385895088</v>
      </c>
      <c r="F15" s="92"/>
      <c r="G15" s="92">
        <f t="shared" si="0"/>
        <v>33</v>
      </c>
      <c r="H15" s="28">
        <f>IF('E-Mixed'!A15&lt;'Adj-Mixed'!$B$10,'E-Mixed'!I15," ")</f>
        <v>8.6524743510214428</v>
      </c>
      <c r="I15" s="126">
        <f>IF('E-Mixed'!A15&lt;'Adj-Mixed'!$B$10,'E-Mixed'!A15," ")</f>
        <v>33</v>
      </c>
      <c r="J15" s="26">
        <f>IF('E-Mixed'!A15&lt;'Adj-Mixed'!$B$10,'E-Mixed'!J15," ")</f>
        <v>341.61594614422398</v>
      </c>
      <c r="K15" s="28">
        <f>IF('E-Mixed'!A15&lt;'Adj-Mixed'!$B$10,'E-Mixed'!N15," ")</f>
        <v>3.2376699977740553</v>
      </c>
      <c r="L15" s="27">
        <f>IF('E-Mixed'!A15&lt;'Adj-Mixed'!$B$10,'E-Mixed'!K15," ")</f>
        <v>0.77533488459338251</v>
      </c>
      <c r="M15" s="31">
        <f>IF('E-Mixed'!A15&lt;'Adj-Mixed'!$B$10,'E-Mixed'!M15," ")</f>
        <v>0.44060438003299879</v>
      </c>
      <c r="N15">
        <f>IF('E-Mixed'!A15&lt;'Adj-Mixed'!$B$10,1/L15," ")</f>
        <v>1.289765261270865</v>
      </c>
      <c r="P15">
        <f t="shared" si="2"/>
        <v>0.75313424285382924</v>
      </c>
      <c r="Q15">
        <f t="shared" si="3"/>
        <v>0.97136638350640414</v>
      </c>
      <c r="R15" s="106">
        <f t="shared" si="1"/>
        <v>19.075440689228177</v>
      </c>
    </row>
    <row r="16" spans="1:18" x14ac:dyDescent="0.25">
      <c r="A16" s="28">
        <f>IF('E-Mixed'!A16&lt;'Adj-Mixed'!$B$10,'E-Mixed'!B16," ")</f>
        <v>8.6707326782648586</v>
      </c>
      <c r="B16" s="126">
        <f>IF('E-Mixed'!A16&lt;'Adj-Mixed'!$B$10,'E-Mixed'!A16," ")</f>
        <v>34</v>
      </c>
      <c r="C16" s="26">
        <f>IF('E-Mixed'!A16&lt;'Adj-Mixed'!$B$10,'E-Mixed'!C16," ")</f>
        <v>327.33614557943014</v>
      </c>
      <c r="D16" s="28">
        <f>IF('E-Mixed'!A16&lt;'Adj-Mixed'!$B$10,'E-Mixed'!G16," ")</f>
        <v>2.9873272149121992</v>
      </c>
      <c r="E16" s="27">
        <f>IF('E-Mixed'!A16&lt;'Adj-Mixed'!$B$10,'E-Mixed'!D16," ")</f>
        <v>0.86173557167257375</v>
      </c>
      <c r="F16" s="92"/>
      <c r="G16" s="92">
        <f t="shared" si="0"/>
        <v>34</v>
      </c>
      <c r="H16" s="28">
        <f>IF('E-Mixed'!A16&lt;'Adj-Mixed'!$B$10,'E-Mixed'!I16," ")</f>
        <v>9.0133246140970478</v>
      </c>
      <c r="I16" s="126">
        <f>IF('E-Mixed'!A16&lt;'Adj-Mixed'!$B$10,'E-Mixed'!A16," ")</f>
        <v>34</v>
      </c>
      <c r="J16" s="26">
        <f>IF('E-Mixed'!A16&lt;'Adj-Mixed'!$B$10,'E-Mixed'!J16," ")</f>
        <v>360.85026307560543</v>
      </c>
      <c r="K16" s="28">
        <f>IF('E-Mixed'!A16&lt;'Adj-Mixed'!$B$10,'E-Mixed'!N16," ")</f>
        <v>3.7093344439287734</v>
      </c>
      <c r="L16" s="27">
        <f>IF('E-Mixed'!A16&lt;'Adj-Mixed'!$B$10,'E-Mixed'!K16," ")</f>
        <v>0.76505716302652393</v>
      </c>
      <c r="M16" s="31">
        <f>IF('E-Mixed'!A16&lt;'Adj-Mixed'!$B$10,'E-Mixed'!M16," ")</f>
        <v>0.47166444615471825</v>
      </c>
      <c r="N16">
        <f>IF('E-Mixed'!A16&lt;'Adj-Mixed'!$B$10,1/L16," ")</f>
        <v>1.3070918727746501</v>
      </c>
      <c r="P16">
        <f t="shared" si="2"/>
        <v>0.79553865307656169</v>
      </c>
      <c r="Q16">
        <f t="shared" si="3"/>
        <v>1.0398421079144655</v>
      </c>
      <c r="R16" s="106">
        <f t="shared" si="1"/>
        <v>19.870979342304736</v>
      </c>
    </row>
    <row r="17" spans="1:18" x14ac:dyDescent="0.25">
      <c r="A17" s="28">
        <f>IF('E-Mixed'!A17&lt;'Adj-Mixed'!$B$10,'E-Mixed'!B17," ")</f>
        <v>9.0149539094451789</v>
      </c>
      <c r="B17" s="126">
        <f>IF('E-Mixed'!A17&lt;'Adj-Mixed'!$B$10,'E-Mixed'!A17," ")</f>
        <v>35</v>
      </c>
      <c r="C17" s="26">
        <f>IF('E-Mixed'!A17&lt;'Adj-Mixed'!$B$10,'E-Mixed'!C17," ")</f>
        <v>344.22123118032033</v>
      </c>
      <c r="D17" s="28">
        <f>IF('E-Mixed'!A17&lt;'Adj-Mixed'!$B$10,'E-Mixed'!G17," ")</f>
        <v>3.3921983959363149</v>
      </c>
      <c r="E17" s="27">
        <f>IF('E-Mixed'!A17&lt;'Adj-Mixed'!$B$10,'E-Mixed'!D17," ")</f>
        <v>0.85019939011123702</v>
      </c>
      <c r="F17" s="92"/>
      <c r="G17" s="92">
        <f t="shared" si="0"/>
        <v>35</v>
      </c>
      <c r="H17" s="28">
        <f>IF('E-Mixed'!A17&lt;'Adj-Mixed'!$B$10,'E-Mixed'!I17," ")</f>
        <v>9.3927887322675438</v>
      </c>
      <c r="I17" s="126">
        <f>IF('E-Mixed'!A17&lt;'Adj-Mixed'!$B$10,'E-Mixed'!A17," ")</f>
        <v>35</v>
      </c>
      <c r="J17" s="26">
        <f>IF('E-Mixed'!A17&lt;'Adj-Mixed'!$B$10,'E-Mixed'!J17," ")</f>
        <v>379.46411817049545</v>
      </c>
      <c r="K17" s="28">
        <f>IF('E-Mixed'!A17&lt;'Adj-Mixed'!$B$10,'E-Mixed'!N17," ")</f>
        <v>4.2120589562052162</v>
      </c>
      <c r="L17" s="27">
        <f>IF('E-Mixed'!A17&lt;'Adj-Mixed'!$B$10,'E-Mixed'!K17," ")</f>
        <v>0.75481522962188941</v>
      </c>
      <c r="M17" s="31">
        <f>IF('E-Mixed'!A17&lt;'Adj-Mixed'!$B$10,'E-Mixed'!M17," ")</f>
        <v>0.50272451227644277</v>
      </c>
      <c r="N17">
        <f>IF('E-Mixed'!A17&lt;'Adj-Mixed'!$B$10,1/L17," ")</f>
        <v>1.3248275349464416</v>
      </c>
      <c r="P17">
        <f t="shared" si="2"/>
        <v>0.83657517909857138</v>
      </c>
      <c r="Q17">
        <f t="shared" si="3"/>
        <v>1.1083178323225382</v>
      </c>
      <c r="R17" s="106">
        <f t="shared" si="1"/>
        <v>20.707554521403313</v>
      </c>
    </row>
    <row r="18" spans="1:18" x14ac:dyDescent="0.25">
      <c r="A18" s="28">
        <f>IF('E-Mixed'!A18&lt;'Adj-Mixed'!$B$10,'E-Mixed'!B18," ")</f>
        <v>9.3754973900396887</v>
      </c>
      <c r="B18" s="126">
        <f>IF('E-Mixed'!A18&lt;'Adj-Mixed'!$B$10,'E-Mixed'!A18," ")</f>
        <v>36</v>
      </c>
      <c r="C18" s="26">
        <f>IF('E-Mixed'!A18&lt;'Adj-Mixed'!$B$10,'E-Mixed'!C18," ")</f>
        <v>360.54348059450979</v>
      </c>
      <c r="D18" s="28">
        <f>IF('E-Mixed'!A18&lt;'Adj-Mixed'!$B$10,'E-Mixed'!G18," ")</f>
        <v>3.8220839244734366</v>
      </c>
      <c r="E18" s="27">
        <f>IF('E-Mixed'!A18&lt;'Adj-Mixed'!$B$10,'E-Mixed'!D18," ")</f>
        <v>0.83869648234361571</v>
      </c>
      <c r="F18" s="92"/>
      <c r="G18" s="92">
        <f t="shared" si="0"/>
        <v>36</v>
      </c>
      <c r="H18" s="28">
        <f>IF('E-Mixed'!A18&lt;'Adj-Mixed'!$B$10,'E-Mixed'!I18," ")</f>
        <v>9.7902462436964282</v>
      </c>
      <c r="I18" s="126">
        <f>IF('E-Mixed'!A18&lt;'Adj-Mixed'!$B$10,'E-Mixed'!A18," ")</f>
        <v>36</v>
      </c>
      <c r="J18" s="26">
        <f>IF('E-Mixed'!A18&lt;'Adj-Mixed'!$B$10,'E-Mixed'!J18," ")</f>
        <v>397.45751142888435</v>
      </c>
      <c r="K18" s="28">
        <f>IF('E-Mixed'!A18&lt;'Adj-Mixed'!$B$10,'E-Mixed'!N18," ")</f>
        <v>4.7458435346033809</v>
      </c>
      <c r="L18" s="27">
        <f>IF('E-Mixed'!A18&lt;'Adj-Mixed'!$B$10,'E-Mixed'!K18," ")</f>
        <v>0.74460283701266805</v>
      </c>
      <c r="M18" s="31">
        <f>IF('E-Mixed'!A18&lt;'Adj-Mixed'!$B$10,'E-Mixed'!M18," ")</f>
        <v>0.53378457839816473</v>
      </c>
      <c r="N18">
        <f>IF('E-Mixed'!A18&lt;'Adj-Mixed'!$B$10,1/L18," ")</f>
        <v>1.34299783762842</v>
      </c>
      <c r="P18">
        <f t="shared" si="2"/>
        <v>0.87624382091983677</v>
      </c>
      <c r="Q18">
        <f t="shared" si="3"/>
        <v>1.1767935567306054</v>
      </c>
      <c r="R18" s="106">
        <f t="shared" si="1"/>
        <v>21.583798342323146</v>
      </c>
    </row>
    <row r="19" spans="1:18" x14ac:dyDescent="0.25">
      <c r="A19" s="28">
        <f>IF('E-Mixed'!A19&lt;'Adj-Mixed'!$B$10,'E-Mixed'!B19," ")</f>
        <v>9.7518002838616944</v>
      </c>
      <c r="B19" s="126">
        <f>IF('E-Mixed'!A19&lt;'Adj-Mixed'!$B$10,'E-Mixed'!A19," ")</f>
        <v>37</v>
      </c>
      <c r="C19" s="26">
        <f>IF('E-Mixed'!A19&lt;'Adj-Mixed'!$B$10,'E-Mixed'!C19," ")</f>
        <v>376.30289382200567</v>
      </c>
      <c r="D19" s="28">
        <f>IF('E-Mixed'!A19&lt;'Adj-Mixed'!$B$10,'E-Mixed'!G19," ")</f>
        <v>4.2769838005235634</v>
      </c>
      <c r="E19" s="27">
        <f>IF('E-Mixed'!A19&lt;'Adj-Mixed'!$B$10,'E-Mixed'!D19," ")</f>
        <v>0.82722135932290353</v>
      </c>
      <c r="F19" s="92"/>
      <c r="G19" s="92">
        <f t="shared" si="0"/>
        <v>37</v>
      </c>
      <c r="H19" s="28">
        <f>IF('E-Mixed'!A19&lt;'Adj-Mixed'!$B$10,'E-Mixed'!I19," ")</f>
        <v>10.205076686547208</v>
      </c>
      <c r="I19" s="126">
        <f>IF('E-Mixed'!A19&lt;'Adj-Mixed'!$B$10,'E-Mixed'!A19," ")</f>
        <v>37</v>
      </c>
      <c r="J19" s="26">
        <f>IF('E-Mixed'!A19&lt;'Adj-Mixed'!$B$10,'E-Mixed'!J19," ")</f>
        <v>414.83044285077989</v>
      </c>
      <c r="K19" s="28">
        <f>IF('E-Mixed'!A19&lt;'Adj-Mixed'!$B$10,'E-Mixed'!N19," ")</f>
        <v>5.3106881791232672</v>
      </c>
      <c r="L19" s="27">
        <f>IF('E-Mixed'!A19&lt;'Adj-Mixed'!$B$10,'E-Mixed'!K19," ")</f>
        <v>0.73441511197009302</v>
      </c>
      <c r="M19" s="31">
        <f>IF('E-Mixed'!A19&lt;'Adj-Mixed'!$B$10,'E-Mixed'!M19," ")</f>
        <v>0.56484464451988659</v>
      </c>
      <c r="N19">
        <f>IF('E-Mixed'!A19&lt;'Adj-Mixed'!$B$10,1/L19," ")</f>
        <v>1.3616277547958766</v>
      </c>
      <c r="P19">
        <f t="shared" si="2"/>
        <v>0.91454457854037507</v>
      </c>
      <c r="Q19">
        <f t="shared" si="3"/>
        <v>1.2452692811386721</v>
      </c>
      <c r="R19" s="106">
        <f t="shared" si="1"/>
        <v>22.498342920863521</v>
      </c>
    </row>
    <row r="20" spans="1:18" x14ac:dyDescent="0.25">
      <c r="A20" s="28">
        <f>IF('E-Mixed'!A20&lt;'Adj-Mixed'!$B$10,'E-Mixed'!B20," ")</f>
        <v>10.143299754724501</v>
      </c>
      <c r="B20" s="126">
        <f>IF('E-Mixed'!A20&lt;'Adj-Mixed'!$B$10,'E-Mixed'!A20," ")</f>
        <v>38</v>
      </c>
      <c r="C20" s="26">
        <f>IF('E-Mixed'!A20&lt;'Adj-Mixed'!$B$10,'E-Mixed'!C20," ")</f>
        <v>391.49947086280611</v>
      </c>
      <c r="D20" s="28">
        <f>IF('E-Mixed'!A20&lt;'Adj-Mixed'!$B$10,'E-Mixed'!G20," ")</f>
        <v>4.7568980240866932</v>
      </c>
      <c r="E20" s="27">
        <f>IF('E-Mixed'!A20&lt;'Adj-Mixed'!$B$10,'E-Mixed'!D20," ")</f>
        <v>0.81576967641448939</v>
      </c>
      <c r="F20" s="92"/>
      <c r="G20" s="92">
        <f t="shared" si="0"/>
        <v>38</v>
      </c>
      <c r="H20" s="28">
        <f>IF('E-Mixed'!A20&lt;'Adj-Mixed'!$B$10,'E-Mixed'!I20," ")</f>
        <v>10.636659598983389</v>
      </c>
      <c r="I20" s="126">
        <f>IF('E-Mixed'!A20&lt;'Adj-Mixed'!$B$10,'E-Mixed'!A20," ")</f>
        <v>38</v>
      </c>
      <c r="J20" s="26">
        <f>IF('E-Mixed'!A20&lt;'Adj-Mixed'!$B$10,'E-Mixed'!J20," ")</f>
        <v>431.5829124361801</v>
      </c>
      <c r="K20" s="28">
        <f>IF('E-Mixed'!A20&lt;'Adj-Mixed'!$B$10,'E-Mixed'!N20," ")</f>
        <v>5.9065928897648758</v>
      </c>
      <c r="L20" s="27">
        <f>IF('E-Mixed'!A20&lt;'Adj-Mixed'!$B$10,'E-Mixed'!K20," ")</f>
        <v>0.72424819728559675</v>
      </c>
      <c r="M20" s="31">
        <f>IF('E-Mixed'!A20&lt;'Adj-Mixed'!$B$10,'E-Mixed'!M20," ")</f>
        <v>0.59590471064160844</v>
      </c>
      <c r="N20">
        <f>IF('E-Mixed'!A20&lt;'Adj-Mixed'!$B$10,1/L20," ")</f>
        <v>1.3807421319761526</v>
      </c>
      <c r="P20">
        <f t="shared" si="2"/>
        <v>0.95147745196018196</v>
      </c>
      <c r="Q20">
        <f t="shared" si="3"/>
        <v>1.313745005546739</v>
      </c>
      <c r="R20" s="106">
        <f t="shared" si="1"/>
        <v>23.449820372823705</v>
      </c>
    </row>
    <row r="21" spans="1:18" x14ac:dyDescent="0.25">
      <c r="A21" s="28">
        <f>IF('E-Mixed'!A21&lt;'Adj-Mixed'!$B$10,'E-Mixed'!B21," ")</f>
        <v>10.549432966441408</v>
      </c>
      <c r="B21" s="126">
        <f>IF('E-Mixed'!A21&lt;'Adj-Mixed'!$B$10,'E-Mixed'!A21," ")</f>
        <v>39</v>
      </c>
      <c r="C21" s="26">
        <f>IF('E-Mixed'!A21&lt;'Adj-Mixed'!$B$10,'E-Mixed'!C21," ")</f>
        <v>406.13321171690762</v>
      </c>
      <c r="D21" s="28">
        <f>IF('E-Mixed'!A21&lt;'Adj-Mixed'!$B$10,'E-Mixed'!G21," ")</f>
        <v>5.2618265951628285</v>
      </c>
      <c r="E21" s="27">
        <f>IF('E-Mixed'!A21&lt;'Adj-Mixed'!$B$10,'E-Mixed'!D21," ")</f>
        <v>0.80433794992295837</v>
      </c>
      <c r="F21" s="92"/>
      <c r="G21" s="92">
        <f t="shared" si="0"/>
        <v>39</v>
      </c>
      <c r="H21" s="28">
        <f>IF('E-Mixed'!A21&lt;'Adj-Mixed'!$B$10,'E-Mixed'!I21," ")</f>
        <v>11.08437451916847</v>
      </c>
      <c r="I21" s="126">
        <f>IF('E-Mixed'!A21&lt;'Adj-Mixed'!$B$10,'E-Mixed'!A21," ")</f>
        <v>39</v>
      </c>
      <c r="J21" s="26">
        <f>IF('E-Mixed'!A21&lt;'Adj-Mixed'!$B$10,'E-Mixed'!J21," ")</f>
        <v>447.71492018508116</v>
      </c>
      <c r="K21" s="28">
        <f>IF('E-Mixed'!A21&lt;'Adj-Mixed'!$B$10,'E-Mixed'!N21," ")</f>
        <v>6.533557666528206</v>
      </c>
      <c r="L21" s="27">
        <f>IF('E-Mixed'!A21&lt;'Adj-Mixed'!$B$10,'E-Mixed'!K21," ")</f>
        <v>0.71409900010074512</v>
      </c>
      <c r="M21" s="31">
        <f>IF('E-Mixed'!A21&lt;'Adj-Mixed'!$B$10,'E-Mixed'!M21," ")</f>
        <v>0.6269647767633304</v>
      </c>
      <c r="N21">
        <f>IF('E-Mixed'!A21&lt;'Adj-Mixed'!$B$10,1/L21," ")</f>
        <v>1.4003660554893929</v>
      </c>
      <c r="P21">
        <f t="shared" si="2"/>
        <v>0.987042441179249</v>
      </c>
      <c r="Q21">
        <f t="shared" si="3"/>
        <v>1.3822207299548057</v>
      </c>
      <c r="R21" s="106">
        <f t="shared" si="1"/>
        <v>24.436862814002957</v>
      </c>
    </row>
    <row r="22" spans="1:18" x14ac:dyDescent="0.25">
      <c r="A22" s="28">
        <f>IF('E-Mixed'!A22&lt;'Adj-Mixed'!$B$10,'E-Mixed'!B22," ")</f>
        <v>10.969637082825722</v>
      </c>
      <c r="B22" s="126">
        <f>IF('E-Mixed'!A22&lt;'Adj-Mixed'!$B$10,'E-Mixed'!A22," ")</f>
        <v>40</v>
      </c>
      <c r="C22" s="26">
        <f>IF('E-Mixed'!A22&lt;'Adj-Mixed'!$B$10,'E-Mixed'!C22," ")</f>
        <v>420.20411638431375</v>
      </c>
      <c r="D22" s="28">
        <f>IF('E-Mixed'!A22&lt;'Adj-Mixed'!$B$10,'E-Mixed'!G22," ")</f>
        <v>5.7917695137519711</v>
      </c>
      <c r="E22" s="27">
        <f>IF('E-Mixed'!A22&lt;'Adj-Mixed'!$B$10,'E-Mixed'!D22," ")</f>
        <v>0.79292335390199331</v>
      </c>
      <c r="F22" s="92"/>
      <c r="G22" s="92">
        <f t="shared" si="0"/>
        <v>40</v>
      </c>
      <c r="H22" s="28">
        <f>IF('E-Mixed'!A22&lt;'Adj-Mixed'!$B$10,'E-Mixed'!I22," ")</f>
        <v>11.547600985265957</v>
      </c>
      <c r="I22" s="126">
        <f>IF('E-Mixed'!A22&lt;'Adj-Mixed'!$B$10,'E-Mixed'!A22," ")</f>
        <v>40</v>
      </c>
      <c r="J22" s="26">
        <f>IF('E-Mixed'!A22&lt;'Adj-Mixed'!$B$10,'E-Mixed'!J22," ")</f>
        <v>463.22646609748693</v>
      </c>
      <c r="K22" s="28">
        <f>IF('E-Mixed'!A22&lt;'Adj-Mixed'!$B$10,'E-Mixed'!N22," ")</f>
        <v>7.1915825094132613</v>
      </c>
      <c r="L22" s="27">
        <f>IF('E-Mixed'!A22&lt;'Adj-Mixed'!$B$10,'E-Mixed'!K22," ")</f>
        <v>0.70396501151310498</v>
      </c>
      <c r="M22" s="31">
        <f>IF('E-Mixed'!A22&lt;'Adj-Mixed'!$B$10,'E-Mixed'!M22," ")</f>
        <v>0.65802484288505514</v>
      </c>
      <c r="N22">
        <f>IF('E-Mixed'!A22&lt;'Adj-Mixed'!$B$10,1/L22," ")</f>
        <v>1.4205251449224676</v>
      </c>
      <c r="P22">
        <f t="shared" si="2"/>
        <v>1.0212395461975847</v>
      </c>
      <c r="Q22">
        <f t="shared" si="3"/>
        <v>1.4506964543628789</v>
      </c>
      <c r="R22" s="106">
        <f t="shared" si="1"/>
        <v>25.458102360200538</v>
      </c>
    </row>
    <row r="23" spans="1:18" x14ac:dyDescent="0.25">
      <c r="A23" s="28">
        <f>IF('E-Mixed'!A23&lt;'Adj-Mixed'!$B$10,'E-Mixed'!B23," ")</f>
        <v>11.403349267690746</v>
      </c>
      <c r="B23" s="126">
        <f>IF('E-Mixed'!A23&lt;'Adj-Mixed'!$B$10,'E-Mixed'!A23," ")</f>
        <v>41</v>
      </c>
      <c r="C23" s="26">
        <f>IF('E-Mixed'!A23&lt;'Adj-Mixed'!$B$10,'E-Mixed'!C23," ")</f>
        <v>433.71218486502448</v>
      </c>
      <c r="D23" s="28">
        <f>IF('E-Mixed'!A23&lt;'Adj-Mixed'!$B$10,'E-Mixed'!G23," ")</f>
        <v>6.3417239103515133</v>
      </c>
      <c r="E23" s="27">
        <f>IF('E-Mixed'!A23&lt;'Adj-Mixed'!$B$10,'E-Mixed'!D23," ")</f>
        <v>0.78863299856631419</v>
      </c>
      <c r="F23" s="92"/>
      <c r="G23" s="92">
        <f t="shared" si="0"/>
        <v>41</v>
      </c>
      <c r="H23" s="28">
        <f>IF('E-Mixed'!A23&lt;'Adj-Mixed'!$B$10,'E-Mixed'!I23," ")</f>
        <v>12.025718535439355</v>
      </c>
      <c r="I23" s="126">
        <f>IF('E-Mixed'!A23&lt;'Adj-Mixed'!$B$10,'E-Mixed'!A23," ")</f>
        <v>41</v>
      </c>
      <c r="J23" s="26">
        <f>IF('E-Mixed'!A23&lt;'Adj-Mixed'!$B$10,'E-Mixed'!J23," ")</f>
        <v>478.11755017339738</v>
      </c>
      <c r="K23" s="28">
        <f>IF('E-Mixed'!A23&lt;'Adj-Mixed'!$B$10,'E-Mixed'!N23," ")</f>
        <v>7.8744554051956879</v>
      </c>
      <c r="L23" s="27">
        <f>IF('E-Mixed'!A23&lt;'Adj-Mixed'!$B$10,'E-Mixed'!K23," ")</f>
        <v>0.70015599261056682</v>
      </c>
      <c r="M23" s="31">
        <f>IF('E-Mixed'!A23&lt;'Adj-Mixed'!$B$10,'E-Mixed'!M23," ")</f>
        <v>0.68287289578242705</v>
      </c>
      <c r="N23">
        <f>IF('E-Mixed'!A23&lt;'Adj-Mixed'!$B$10,1/L23," ")</f>
        <v>1.4282531472328754</v>
      </c>
      <c r="P23">
        <f t="shared" si="2"/>
        <v>1.0540687670151889</v>
      </c>
      <c r="Q23">
        <f t="shared" si="3"/>
        <v>1.50547703388932</v>
      </c>
      <c r="R23" s="106">
        <f t="shared" si="1"/>
        <v>26.51217112721573</v>
      </c>
    </row>
    <row r="24" spans="1:18" x14ac:dyDescent="0.25">
      <c r="A24" s="28">
        <f>IF('E-Mixed'!A24&lt;'Adj-Mixed'!$B$10,'E-Mixed'!B24," ")</f>
        <v>11.850006684849784</v>
      </c>
      <c r="B24" s="126">
        <f>IF('E-Mixed'!A24&lt;'Adj-Mixed'!$B$10,'E-Mixed'!A24," ")</f>
        <v>42</v>
      </c>
      <c r="C24" s="26">
        <f>IF('E-Mixed'!A24&lt;'Adj-Mixed'!$B$10,'E-Mixed'!C24," ")</f>
        <v>446.65741715903806</v>
      </c>
      <c r="D24" s="28">
        <f>IF('E-Mixed'!A24&lt;'Adj-Mixed'!$B$10,'E-Mixed'!G24," ")</f>
        <v>6.9116897849614611</v>
      </c>
      <c r="E24" s="27">
        <f>IF('E-Mixed'!A24&lt;'Adj-Mixed'!$B$10,'E-Mixed'!D24," ")</f>
        <v>0.78365642059659302</v>
      </c>
      <c r="F24" s="92"/>
      <c r="G24" s="92">
        <f t="shared" si="0"/>
        <v>42</v>
      </c>
      <c r="H24" s="28">
        <f>IF('E-Mixed'!A24&lt;'Adj-Mixed'!$B$10,'E-Mixed'!I24," ")</f>
        <v>12.518106707852166</v>
      </c>
      <c r="I24" s="126">
        <f>IF('E-Mixed'!A24&lt;'Adj-Mixed'!$B$10,'E-Mixed'!A24," ")</f>
        <v>42</v>
      </c>
      <c r="J24" s="26">
        <f>IF('E-Mixed'!A24&lt;'Adj-Mixed'!$B$10,'E-Mixed'!J24," ")</f>
        <v>492.3881724128106</v>
      </c>
      <c r="K24" s="28">
        <f>IF('E-Mixed'!A24&lt;'Adj-Mixed'!$B$10,'E-Mixed'!N24," ")</f>
        <v>8.5821763538754947</v>
      </c>
      <c r="L24" s="27">
        <f>IF('E-Mixed'!A24&lt;'Adj-Mixed'!$B$10,'E-Mixed'!K24," ")</f>
        <v>0.69573773862610455</v>
      </c>
      <c r="M24" s="31">
        <f>IF('E-Mixed'!A24&lt;'Adj-Mixed'!$B$10,'E-Mixed'!M24," ")</f>
        <v>0.7077209486798075</v>
      </c>
      <c r="N24">
        <f>IF('E-Mixed'!A24&lt;'Adj-Mixed'!$B$10,1/L24," ")</f>
        <v>1.4373232102871576</v>
      </c>
      <c r="P24">
        <f t="shared" si="2"/>
        <v>1.0855301036320575</v>
      </c>
      <c r="Q24">
        <f t="shared" si="3"/>
        <v>1.56025761341578</v>
      </c>
      <c r="R24" s="106">
        <f t="shared" si="1"/>
        <v>27.597701230847786</v>
      </c>
    </row>
    <row r="25" spans="1:18" x14ac:dyDescent="0.25">
      <c r="A25" s="28">
        <f>IF('E-Mixed'!A25&lt;'Adj-Mixed'!$B$10,'E-Mixed'!B25," ")</f>
        <v>12.306665510784498</v>
      </c>
      <c r="B25" s="126">
        <f>IF('E-Mixed'!A25&lt;'Adj-Mixed'!$B$10,'E-Mixed'!A25," ")</f>
        <v>43</v>
      </c>
      <c r="C25" s="26">
        <f>IF('E-Mixed'!A25&lt;'Adj-Mixed'!$B$10,'E-Mixed'!C25," ")</f>
        <v>456.65882593471349</v>
      </c>
      <c r="D25" s="28">
        <f>IF('E-Mixed'!A25&lt;'Adj-Mixed'!$B$10,'E-Mixed'!G25," ")</f>
        <v>7.5016671375818138</v>
      </c>
      <c r="E25" s="27">
        <f>IF('E-Mixed'!A25&lt;'Adj-Mixed'!$B$10,'E-Mixed'!D25," ")</f>
        <v>0.77402772141420173</v>
      </c>
      <c r="F25" s="92"/>
      <c r="G25" s="92">
        <f t="shared" si="0"/>
        <v>43</v>
      </c>
      <c r="H25" s="28">
        <f>IF('E-Mixed'!A25&lt;'Adj-Mixed'!$B$10,'E-Mixed'!I25," ")</f>
        <v>13.021520277357745</v>
      </c>
      <c r="I25" s="126">
        <f>IF('E-Mixed'!A25&lt;'Adj-Mixed'!$B$10,'E-Mixed'!A25," ")</f>
        <v>43</v>
      </c>
      <c r="J25" s="26">
        <f>IF('E-Mixed'!A25&lt;'Adj-Mixed'!$B$10,'E-Mixed'!J25," ")</f>
        <v>503.41356950557804</v>
      </c>
      <c r="K25" s="28">
        <f>IF('E-Mixed'!A25&lt;'Adj-Mixed'!$B$10,'E-Mixed'!N25," ")</f>
        <v>9.3147453554526791</v>
      </c>
      <c r="L25" s="27">
        <f>IF('E-Mixed'!A25&lt;'Adj-Mixed'!$B$10,'E-Mixed'!K25," ")</f>
        <v>0.68718928649963829</v>
      </c>
      <c r="M25" s="31">
        <f>IF('E-Mixed'!A25&lt;'Adj-Mixed'!$B$10,'E-Mixed'!M25," ")</f>
        <v>0.73256900157718485</v>
      </c>
      <c r="N25">
        <f>IF('E-Mixed'!A25&lt;'Adj-Mixed'!$B$10,1/L25," ")</f>
        <v>1.4552031291025174</v>
      </c>
      <c r="P25">
        <f t="shared" si="2"/>
        <v>1.1098369434776383</v>
      </c>
      <c r="Q25">
        <f t="shared" si="3"/>
        <v>1.6150381929422333</v>
      </c>
      <c r="R25" s="106">
        <f t="shared" si="1"/>
        <v>28.707538174325428</v>
      </c>
    </row>
    <row r="26" spans="1:18" x14ac:dyDescent="0.25">
      <c r="A26" s="28">
        <f>IF('E-Mixed'!A26&lt;'Adj-Mixed'!$B$10,'E-Mixed'!B26," ")</f>
        <v>12.773549693813344</v>
      </c>
      <c r="B26" s="126">
        <f>IF('E-Mixed'!A26&lt;'Adj-Mixed'!$B$10,'E-Mixed'!A26," ")</f>
        <v>44</v>
      </c>
      <c r="C26" s="26">
        <f>IF('E-Mixed'!A26&lt;'Adj-Mixed'!$B$10,'E-Mixed'!C26," ")</f>
        <v>466.88418302884571</v>
      </c>
      <c r="D26" s="28">
        <f>IF('E-Mixed'!A26&lt;'Adj-Mixed'!$B$10,'E-Mixed'!G26," ")</f>
        <v>8.1116559682125668</v>
      </c>
      <c r="E26" s="27">
        <f>IF('E-Mixed'!A26&lt;'Adj-Mixed'!$B$10,'E-Mixed'!D26," ")</f>
        <v>0.76539792137844076</v>
      </c>
      <c r="F26" s="92"/>
      <c r="G26" s="92">
        <f t="shared" si="0"/>
        <v>44</v>
      </c>
      <c r="H26" s="28">
        <f>IF('E-Mixed'!A26&lt;'Adj-Mixed'!$B$10,'E-Mixed'!I26," ")</f>
        <v>13.536206121090565</v>
      </c>
      <c r="I26" s="126">
        <f>IF('E-Mixed'!A26&lt;'Adj-Mixed'!$B$10,'E-Mixed'!A26," ")</f>
        <v>44</v>
      </c>
      <c r="J26" s="26">
        <f>IF('E-Mixed'!A26&lt;'Adj-Mixed'!$B$10,'E-Mixed'!J26," ")</f>
        <v>514.68584373281965</v>
      </c>
      <c r="K26" s="28">
        <f>IF('E-Mixed'!A26&lt;'Adj-Mixed'!$B$10,'E-Mixed'!N26," ")</f>
        <v>10.072162409927241</v>
      </c>
      <c r="L26" s="27">
        <f>IF('E-Mixed'!A26&lt;'Adj-Mixed'!$B$10,'E-Mixed'!K26," ")</f>
        <v>0.67952766668274844</v>
      </c>
      <c r="M26" s="31">
        <f>IF('E-Mixed'!A26&lt;'Adj-Mixed'!$B$10,'E-Mixed'!M26," ")</f>
        <v>0.75741705447456253</v>
      </c>
      <c r="N26">
        <f>IF('E-Mixed'!A26&lt;'Adj-Mixed'!$B$10,1/L26," ")</f>
        <v>1.4716104274042321</v>
      </c>
      <c r="P26">
        <f t="shared" si="2"/>
        <v>1.1346880542386981</v>
      </c>
      <c r="Q26">
        <f t="shared" si="3"/>
        <v>1.669818772468687</v>
      </c>
      <c r="R26" s="106">
        <f t="shared" si="1"/>
        <v>29.84222622856413</v>
      </c>
    </row>
    <row r="27" spans="1:18" x14ac:dyDescent="0.25">
      <c r="A27" s="28">
        <f>IF('E-Mixed'!A27&lt;'Adj-Mixed'!$B$10,'E-Mixed'!B27," ")</f>
        <v>13.250888196833269</v>
      </c>
      <c r="B27" s="126">
        <f>IF('E-Mixed'!A27&lt;'Adj-Mixed'!$B$10,'E-Mixed'!A27," ")</f>
        <v>45</v>
      </c>
      <c r="C27" s="26">
        <f>IF('E-Mixed'!A27&lt;'Adj-Mixed'!$B$10,'E-Mixed'!C27," ")</f>
        <v>477.33850301992572</v>
      </c>
      <c r="D27" s="28">
        <f>IF('E-Mixed'!A27&lt;'Adj-Mixed'!$B$10,'E-Mixed'!G27," ")</f>
        <v>8.7416562768537265</v>
      </c>
      <c r="E27" s="27">
        <f>IF('E-Mixed'!A27&lt;'Adj-Mixed'!$B$10,'E-Mixed'!D27," ")</f>
        <v>0.75767979233135696</v>
      </c>
      <c r="F27" s="92"/>
      <c r="G27" s="92">
        <f t="shared" si="0"/>
        <v>45</v>
      </c>
      <c r="H27" s="28">
        <f>IF('E-Mixed'!A27&lt;'Adj-Mixed'!$B$10,'E-Mixed'!I27," ")</f>
        <v>14.062416644178242</v>
      </c>
      <c r="I27" s="126">
        <f>IF('E-Mixed'!A27&lt;'Adj-Mixed'!$B$10,'E-Mixed'!A27," ")</f>
        <v>45</v>
      </c>
      <c r="J27" s="26">
        <f>IF('E-Mixed'!A27&lt;'Adj-Mixed'!$B$10,'E-Mixed'!J27," ")</f>
        <v>526.21052308767685</v>
      </c>
      <c r="K27" s="28">
        <f>IF('E-Mixed'!A27&lt;'Adj-Mixed'!$B$10,'E-Mixed'!N27," ")</f>
        <v>10.854427517299184</v>
      </c>
      <c r="L27" s="27">
        <f>IF('E-Mixed'!A27&lt;'Adj-Mixed'!$B$10,'E-Mixed'!K27," ")</f>
        <v>0.67267543717436951</v>
      </c>
      <c r="M27" s="31">
        <f>IF('E-Mixed'!A27&lt;'Adj-Mixed'!$B$10,'E-Mixed'!M27," ")</f>
        <v>0.78226510737194288</v>
      </c>
      <c r="N27">
        <f>IF('E-Mixed'!A27&lt;'Adj-Mixed'!$B$10,1/L27," ")</f>
        <v>1.4866010333312976</v>
      </c>
      <c r="P27">
        <f t="shared" si="2"/>
        <v>1.1600956230539698</v>
      </c>
      <c r="Q27">
        <f t="shared" si="3"/>
        <v>1.7245993519951468</v>
      </c>
      <c r="R27" s="106">
        <f t="shared" si="1"/>
        <v>31.002321851618099</v>
      </c>
    </row>
    <row r="28" spans="1:18" x14ac:dyDescent="0.25">
      <c r="A28" s="28">
        <f>IF('E-Mixed'!A28&lt;'Adj-Mixed'!$B$10,'E-Mixed'!B28," ")</f>
        <v>13.73891510960453</v>
      </c>
      <c r="B28" s="126">
        <f>IF('E-Mixed'!A28&lt;'Adj-Mixed'!$B$10,'E-Mixed'!A28," ")</f>
        <v>46</v>
      </c>
      <c r="C28" s="26">
        <f>IF('E-Mixed'!A28&lt;'Adj-Mixed'!$B$10,'E-Mixed'!C28," ")</f>
        <v>488.02691277126087</v>
      </c>
      <c r="D28" s="28">
        <f>IF('E-Mixed'!A28&lt;'Adj-Mixed'!$B$10,'E-Mixed'!G28," ")</f>
        <v>9.3916680635052874</v>
      </c>
      <c r="E28" s="27">
        <f>IF('E-Mixed'!A28&lt;'Adj-Mixed'!$B$10,'E-Mixed'!D28," ")</f>
        <v>0.75079702059752063</v>
      </c>
      <c r="F28" s="92"/>
      <c r="G28" s="92">
        <f t="shared" si="0"/>
        <v>46</v>
      </c>
      <c r="H28" s="28">
        <f>IF('E-Mixed'!A28&lt;'Adj-Mixed'!$B$10,'E-Mixed'!I28," ")</f>
        <v>14.600409903522564</v>
      </c>
      <c r="I28" s="126">
        <f>IF('E-Mixed'!A28&lt;'Adj-Mixed'!$B$10,'E-Mixed'!A28," ")</f>
        <v>46</v>
      </c>
      <c r="J28" s="26">
        <f>IF('E-Mixed'!A28&lt;'Adj-Mixed'!$B$10,'E-Mixed'!J28," ")</f>
        <v>537.99325934432181</v>
      </c>
      <c r="K28" s="28">
        <f>IF('E-Mixed'!A28&lt;'Adj-Mixed'!$B$10,'E-Mixed'!N28," ")</f>
        <v>11.661540677568496</v>
      </c>
      <c r="L28" s="27">
        <f>IF('E-Mixed'!A28&lt;'Adj-Mixed'!$B$10,'E-Mixed'!K28," ")</f>
        <v>0.66656484595643062</v>
      </c>
      <c r="M28" s="31">
        <f>IF('E-Mixed'!A28&lt;'Adj-Mixed'!$B$10,'E-Mixed'!M28," ")</f>
        <v>0.80711316026931201</v>
      </c>
      <c r="N28">
        <f>IF('E-Mixed'!A28&lt;'Adj-Mixed'!$B$10,1/L28," ")</f>
        <v>1.5002291315935434</v>
      </c>
      <c r="P28">
        <f t="shared" si="2"/>
        <v>1.1860721099526472</v>
      </c>
      <c r="Q28">
        <f t="shared" si="3"/>
        <v>1.7793799315215819</v>
      </c>
      <c r="R28" s="106">
        <f t="shared" si="1"/>
        <v>32.188393961570746</v>
      </c>
    </row>
    <row r="29" spans="1:18" x14ac:dyDescent="0.25">
      <c r="A29" s="28">
        <f>IF('E-Mixed'!A29&lt;'Adj-Mixed'!$B$10,'E-Mixed'!B29," ")</f>
        <v>14.237869763549785</v>
      </c>
      <c r="B29" s="126">
        <f>IF('E-Mixed'!A29&lt;'Adj-Mixed'!$B$10,'E-Mixed'!A29," ")</f>
        <v>47</v>
      </c>
      <c r="C29" s="26">
        <f>IF('E-Mixed'!A29&lt;'Adj-Mixed'!$B$10,'E-Mixed'!C29," ")</f>
        <v>498.95465394525473</v>
      </c>
      <c r="D29" s="28">
        <f>IF('E-Mixed'!A29&lt;'Adj-Mixed'!$B$10,'E-Mixed'!G29," ")</f>
        <v>10.064693049868815</v>
      </c>
      <c r="E29" s="27">
        <f>IF('E-Mixed'!A29&lt;'Adj-Mixed'!$B$10,'E-Mixed'!D29," ")</f>
        <v>0.74136126303600558</v>
      </c>
      <c r="F29" s="92"/>
      <c r="G29" s="92">
        <f t="shared" si="0"/>
        <v>47</v>
      </c>
      <c r="H29" s="28">
        <f>IF('E-Mixed'!A29&lt;'Adj-Mixed'!$B$10,'E-Mixed'!I29," ")</f>
        <v>15.150449734352225</v>
      </c>
      <c r="I29" s="126">
        <f>IF('E-Mixed'!A29&lt;'Adj-Mixed'!$B$10,'E-Mixed'!A29," ")</f>
        <v>47</v>
      </c>
      <c r="J29" s="26">
        <f>IF('E-Mixed'!A29&lt;'Adj-Mixed'!$B$10,'E-Mixed'!J29," ")</f>
        <v>550.03983082966033</v>
      </c>
      <c r="K29" s="28">
        <f>IF('E-Mixed'!A29&lt;'Adj-Mixed'!$B$10,'E-Mixed'!N29," ")</f>
        <v>12.497229098669798</v>
      </c>
      <c r="L29" s="27">
        <f>IF('E-Mixed'!A29&lt;'Adj-Mixed'!$B$10,'E-Mixed'!K29," ")</f>
        <v>0.65818768926437565</v>
      </c>
      <c r="M29" s="31">
        <f>IF('E-Mixed'!A29&lt;'Adj-Mixed'!$B$10,'E-Mixed'!M29," ")</f>
        <v>0.83568842110130181</v>
      </c>
      <c r="N29">
        <f>IF('E-Mixed'!A29&lt;'Adj-Mixed'!$B$10,1/L29," ")</f>
        <v>1.5193234639767439</v>
      </c>
      <c r="P29">
        <f t="shared" si="2"/>
        <v>1.2126302539649427</v>
      </c>
      <c r="Q29">
        <f t="shared" si="3"/>
        <v>1.8423775979770158</v>
      </c>
      <c r="R29" s="106">
        <f t="shared" si="1"/>
        <v>33.401024215535685</v>
      </c>
    </row>
    <row r="30" spans="1:18" x14ac:dyDescent="0.25">
      <c r="A30" s="28">
        <f>IF('E-Mixed'!A30&lt;'Adj-Mixed'!$B$10,'E-Mixed'!B30," ")</f>
        <v>14.747996849123677</v>
      </c>
      <c r="B30" s="126">
        <f>IF('E-Mixed'!A30&lt;'Adj-Mixed'!$B$10,'E-Mixed'!A30," ")</f>
        <v>48</v>
      </c>
      <c r="C30" s="26">
        <f>IF('E-Mixed'!A30&lt;'Adj-Mixed'!$B$10,'E-Mixed'!C30," ")</f>
        <v>510.12708557389175</v>
      </c>
      <c r="D30" s="28">
        <f>IF('E-Mixed'!A30&lt;'Adj-Mixed'!$B$10,'E-Mixed'!G30," ")</f>
        <v>10.760731235944309</v>
      </c>
      <c r="E30" s="27">
        <f>IF('E-Mixed'!A30&lt;'Adj-Mixed'!$B$10,'E-Mixed'!D30," ")</f>
        <v>0.73290100425404048</v>
      </c>
      <c r="F30" s="92"/>
      <c r="G30" s="92">
        <f t="shared" si="0"/>
        <v>48</v>
      </c>
      <c r="H30" s="28">
        <f>IF('E-Mixed'!A30&lt;'Adj-Mixed'!$B$10,'E-Mixed'!I30," ")</f>
        <v>15.71280587960922</v>
      </c>
      <c r="I30" s="126">
        <f>IF('E-Mixed'!A30&lt;'Adj-Mixed'!$B$10,'E-Mixed'!A30," ")</f>
        <v>48</v>
      </c>
      <c r="J30" s="26">
        <f>IF('E-Mixed'!A30&lt;'Adj-Mixed'!$B$10,'E-Mixed'!J30," ")</f>
        <v>562.35614525699452</v>
      </c>
      <c r="K30" s="28">
        <f>IF('E-Mixed'!A30&lt;'Adj-Mixed'!$B$10,'E-Mixed'!N30," ")</f>
        <v>13.36149278060309</v>
      </c>
      <c r="L30" s="27">
        <f>IF('E-Mixed'!A30&lt;'Adj-Mixed'!$B$10,'E-Mixed'!K30," ")</f>
        <v>0.65067658981000631</v>
      </c>
      <c r="M30" s="31">
        <f>IF('E-Mixed'!A30&lt;'Adj-Mixed'!$B$10,'E-Mixed'!M30," ")</f>
        <v>0.86426368193329217</v>
      </c>
      <c r="N30">
        <f>IF('E-Mixed'!A30&lt;'Adj-Mixed'!$B$10,1/L30," ")</f>
        <v>1.5368618076331808</v>
      </c>
      <c r="P30">
        <f t="shared" si="2"/>
        <v>1.2397830793692461</v>
      </c>
      <c r="Q30">
        <f t="shared" si="3"/>
        <v>1.9053752644324509</v>
      </c>
      <c r="R30" s="106">
        <f t="shared" si="1"/>
        <v>34.640807294904938</v>
      </c>
    </row>
    <row r="31" spans="1:18" x14ac:dyDescent="0.25">
      <c r="A31" s="28">
        <f>IF('E-Mixed'!A31&lt;'Adj-Mixed'!$B$10,'E-Mixed'!B31," ")</f>
        <v>15.269546535810562</v>
      </c>
      <c r="B31" s="126">
        <f>IF('E-Mixed'!A31&lt;'Adj-Mixed'!$B$10,'E-Mixed'!A31," ")</f>
        <v>49</v>
      </c>
      <c r="C31" s="26">
        <f>IF('E-Mixed'!A31&lt;'Adj-Mixed'!$B$10,'E-Mixed'!C31," ")</f>
        <v>521.54968668688537</v>
      </c>
      <c r="D31" s="28">
        <f>IF('E-Mixed'!A31&lt;'Adj-Mixed'!$B$10,'E-Mixed'!G31," ")</f>
        <v>11.479782621731765</v>
      </c>
      <c r="E31" s="27">
        <f>IF('E-Mixed'!A31&lt;'Adj-Mixed'!$B$10,'E-Mixed'!D31," ")</f>
        <v>0.72533020170139884</v>
      </c>
      <c r="F31" s="92"/>
      <c r="G31" s="92">
        <f t="shared" si="0"/>
        <v>49</v>
      </c>
      <c r="H31" s="28">
        <f>IF('E-Mixed'!A31&lt;'Adj-Mixed'!$B$10,'E-Mixed'!I31," ")</f>
        <v>16.287754122232471</v>
      </c>
      <c r="I31" s="126">
        <f>IF('E-Mixed'!A31&lt;'Adj-Mixed'!$B$10,'E-Mixed'!A31," ")</f>
        <v>49</v>
      </c>
      <c r="J31" s="26">
        <f>IF('E-Mixed'!A31&lt;'Adj-Mixed'!$B$10,'E-Mixed'!J31," ")</f>
        <v>574.94824262325153</v>
      </c>
      <c r="K31" s="28">
        <f>IF('E-Mixed'!A31&lt;'Adj-Mixed'!$B$10,'E-Mixed'!N31," ")</f>
        <v>14.25433172336836</v>
      </c>
      <c r="L31" s="27">
        <f>IF('E-Mixed'!A31&lt;'Adj-Mixed'!$B$10,'E-Mixed'!K31," ")</f>
        <v>0.64395515818624749</v>
      </c>
      <c r="M31" s="31">
        <f>IF('E-Mixed'!A31&lt;'Adj-Mixed'!$B$10,'E-Mixed'!M31," ")</f>
        <v>0.89283894276527009</v>
      </c>
      <c r="N31">
        <f>IF('E-Mixed'!A31&lt;'Adj-Mixed'!$B$10,1/L31," ")</f>
        <v>1.5529031599289957</v>
      </c>
      <c r="P31">
        <f t="shared" si="2"/>
        <v>1.2675439020794188</v>
      </c>
      <c r="Q31">
        <f t="shared" si="3"/>
        <v>1.9683729308878588</v>
      </c>
      <c r="R31" s="106">
        <f t="shared" si="1"/>
        <v>35.908351196984356</v>
      </c>
    </row>
    <row r="32" spans="1:18" x14ac:dyDescent="0.25">
      <c r="A32" s="28">
        <f>IF('E-Mixed'!A32&lt;'Adj-Mixed'!$B$10,'E-Mixed'!B32," ")</f>
        <v>15.802774594809183</v>
      </c>
      <c r="B32" s="126">
        <f>IF('E-Mixed'!A32&lt;'Adj-Mixed'!$B$10,'E-Mixed'!A32," ")</f>
        <v>50</v>
      </c>
      <c r="C32" s="26">
        <f>IF('E-Mixed'!A32&lt;'Adj-Mixed'!$B$10,'E-Mixed'!C32," ")</f>
        <v>533.22805899862044</v>
      </c>
      <c r="D32" s="28">
        <f>IF('E-Mixed'!A32&lt;'Adj-Mixed'!$B$10,'E-Mixed'!G32," ")</f>
        <v>12.221847207231184</v>
      </c>
      <c r="E32" s="27">
        <f>IF('E-Mixed'!A32&lt;'Adj-Mixed'!$B$10,'E-Mixed'!D32," ")</f>
        <v>0.71857365169872967</v>
      </c>
      <c r="F32" s="92"/>
      <c r="G32" s="92">
        <f t="shared" si="0"/>
        <v>50</v>
      </c>
      <c r="H32" s="28">
        <f>IF('E-Mixed'!A32&lt;'Adj-Mixed'!$B$10,'E-Mixed'!I32," ")</f>
        <v>16.875576420403497</v>
      </c>
      <c r="I32" s="126">
        <f>IF('E-Mixed'!A32&lt;'Adj-Mixed'!$B$10,'E-Mixed'!A32," ")</f>
        <v>50</v>
      </c>
      <c r="J32" s="26">
        <f>IF('E-Mixed'!A32&lt;'Adj-Mixed'!$B$10,'E-Mixed'!J32," ")</f>
        <v>587.82229817102746</v>
      </c>
      <c r="K32" s="28">
        <f>IF('E-Mixed'!A32&lt;'Adj-Mixed'!$B$10,'E-Mixed'!N32," ")</f>
        <v>15.175745926965611</v>
      </c>
      <c r="L32" s="27">
        <f>IF('E-Mixed'!A32&lt;'Adj-Mixed'!$B$10,'E-Mixed'!K32," ")</f>
        <v>0.63795662784026674</v>
      </c>
      <c r="M32" s="31">
        <f>IF('E-Mixed'!A32&lt;'Adj-Mixed'!$B$10,'E-Mixed'!M32," ")</f>
        <v>0.92141420359725146</v>
      </c>
      <c r="N32">
        <f>IF('E-Mixed'!A32&lt;'Adj-Mixed'!$B$10,1/L32," ")</f>
        <v>1.5675046803501234</v>
      </c>
      <c r="P32">
        <f t="shared" si="2"/>
        <v>1.2959263361749833</v>
      </c>
      <c r="Q32">
        <f t="shared" si="3"/>
        <v>2.0313705973432739</v>
      </c>
      <c r="R32" s="106">
        <f t="shared" si="1"/>
        <v>37.204277533159335</v>
      </c>
    </row>
    <row r="33" spans="1:18" x14ac:dyDescent="0.25">
      <c r="A33" s="28">
        <f>IF('E-Mixed'!A33&lt;'Adj-Mixed'!$B$10,'E-Mixed'!B33," ")</f>
        <v>16.347942524464436</v>
      </c>
      <c r="B33" s="126">
        <f>IF('E-Mixed'!A33&lt;'Adj-Mixed'!$B$10,'E-Mixed'!A33," ")</f>
        <v>51</v>
      </c>
      <c r="C33" s="26">
        <f>IF('E-Mixed'!A33&lt;'Adj-Mixed'!$B$10,'E-Mixed'!C33," ")</f>
        <v>545.16792965525337</v>
      </c>
      <c r="D33" s="28">
        <f>IF('E-Mixed'!A33&lt;'Adj-Mixed'!$B$10,'E-Mixed'!G33," ")</f>
        <v>12.986924992442566</v>
      </c>
      <c r="E33" s="27">
        <f>IF('E-Mixed'!A33&lt;'Adj-Mixed'!$B$10,'E-Mixed'!D33," ")</f>
        <v>0.71256536288611527</v>
      </c>
      <c r="F33" s="92"/>
      <c r="G33" s="92">
        <f t="shared" si="0"/>
        <v>51</v>
      </c>
      <c r="H33" s="28">
        <f>IF('E-Mixed'!A33&lt;'Adj-Mixed'!$B$10,'E-Mixed'!I33," ")</f>
        <v>17.476561045820446</v>
      </c>
      <c r="I33" s="126">
        <f>IF('E-Mixed'!A33&lt;'Adj-Mixed'!$B$10,'E-Mixed'!A33," ")</f>
        <v>51</v>
      </c>
      <c r="J33" s="26">
        <f>IF('E-Mixed'!A33&lt;'Adj-Mixed'!$B$10,'E-Mixed'!J33," ")</f>
        <v>600.98462541694789</v>
      </c>
      <c r="K33" s="28">
        <f>IF('E-Mixed'!A33&lt;'Adj-Mixed'!$B$10,'E-Mixed'!N33," ")</f>
        <v>16.125735391394848</v>
      </c>
      <c r="L33" s="27">
        <f>IF('E-Mixed'!A33&lt;'Adj-Mixed'!$B$10,'E-Mixed'!K33," ")</f>
        <v>0.63262241100539607</v>
      </c>
      <c r="M33" s="31">
        <f>IF('E-Mixed'!A33&lt;'Adj-Mixed'!$B$10,'E-Mixed'!M33," ")</f>
        <v>0.94998946442923538</v>
      </c>
      <c r="N33">
        <f>IF('E-Mixed'!A33&lt;'Adj-Mixed'!$B$10,1/L33," ")</f>
        <v>1.5807217427070732</v>
      </c>
      <c r="P33">
        <f t="shared" si="2"/>
        <v>1.3249443005775161</v>
      </c>
      <c r="Q33">
        <f t="shared" si="3"/>
        <v>2.0943682637986951</v>
      </c>
      <c r="R33" s="106">
        <f t="shared" si="1"/>
        <v>38.529221833736855</v>
      </c>
    </row>
    <row r="34" spans="1:18" x14ac:dyDescent="0.25">
      <c r="A34" s="28">
        <f>IF('E-Mixed'!A34&lt;'Adj-Mixed'!$B$10,'E-Mixed'!B34," ")</f>
        <v>16.905317678507799</v>
      </c>
      <c r="B34" s="126">
        <f>IF('E-Mixed'!A34&lt;'Adj-Mixed'!$B$10,'E-Mixed'!A34," ")</f>
        <v>52</v>
      </c>
      <c r="C34" s="26">
        <f>IF('E-Mixed'!A34&lt;'Adj-Mixed'!$B$10,'E-Mixed'!C34," ")</f>
        <v>557.37515404336341</v>
      </c>
      <c r="D34" s="28">
        <f>IF('E-Mixed'!A34&lt;'Adj-Mixed'!$B$10,'E-Mixed'!G34," ")</f>
        <v>13.775015977365916</v>
      </c>
      <c r="E34" s="27">
        <f>IF('E-Mixed'!A34&lt;'Adj-Mixed'!$B$10,'E-Mixed'!D34," ")</f>
        <v>0.7072472147331712</v>
      </c>
      <c r="F34" s="92"/>
      <c r="G34" s="92">
        <f t="shared" si="0"/>
        <v>52</v>
      </c>
      <c r="H34" s="28">
        <f>IF('E-Mixed'!A34&lt;'Adj-Mixed'!$B$10,'E-Mixed'!I34," ")</f>
        <v>18.091002725068329</v>
      </c>
      <c r="I34" s="126">
        <f>IF('E-Mixed'!A34&lt;'Adj-Mixed'!$B$10,'E-Mixed'!A34," ")</f>
        <v>52</v>
      </c>
      <c r="J34" s="26">
        <f>IF('E-Mixed'!A34&lt;'Adj-Mixed'!$B$10,'E-Mixed'!J34," ")</f>
        <v>614.44167924788064</v>
      </c>
      <c r="K34" s="28">
        <f>IF('E-Mixed'!A34&lt;'Adj-Mixed'!$B$10,'E-Mixed'!N34," ")</f>
        <v>17.104300116656077</v>
      </c>
      <c r="L34" s="27">
        <f>IF('E-Mixed'!A34&lt;'Adj-Mixed'!$B$10,'E-Mixed'!K34," ")</f>
        <v>0.62790090771344187</v>
      </c>
      <c r="M34" s="31">
        <f>IF('E-Mixed'!A34&lt;'Adj-Mixed'!$B$10,'E-Mixed'!M34," ")</f>
        <v>0.97856472526122917</v>
      </c>
      <c r="N34">
        <f>IF('E-Mixed'!A34&lt;'Adj-Mixed'!$B$10,1/L34," ")</f>
        <v>1.5926079859345812</v>
      </c>
      <c r="P34">
        <f t="shared" si="2"/>
        <v>1.3546120258766272</v>
      </c>
      <c r="Q34">
        <f t="shared" si="3"/>
        <v>2.1573659302541381</v>
      </c>
      <c r="R34" s="106">
        <f t="shared" si="1"/>
        <v>39.883833859613482</v>
      </c>
    </row>
    <row r="35" spans="1:18" x14ac:dyDescent="0.25">
      <c r="A35" s="28">
        <f>IF('E-Mixed'!A35&lt;'Adj-Mixed'!$B$10,'E-Mixed'!B35," ")</f>
        <v>17.475173397169222</v>
      </c>
      <c r="B35" s="126">
        <f>IF('E-Mixed'!A35&lt;'Adj-Mixed'!$B$10,'E-Mixed'!A35," ")</f>
        <v>53</v>
      </c>
      <c r="C35" s="26">
        <f>IF('E-Mixed'!A35&lt;'Adj-Mixed'!$B$10,'E-Mixed'!C35," ")</f>
        <v>569.85571866142232</v>
      </c>
      <c r="D35" s="28">
        <f>IF('E-Mixed'!A35&lt;'Adj-Mixed'!$B$10,'E-Mixed'!G35," ")</f>
        <v>14.586120162001231</v>
      </c>
      <c r="E35" s="27">
        <f>IF('E-Mixed'!A35&lt;'Adj-Mixed'!$B$10,'E-Mixed'!D35," ")</f>
        <v>0.7025678444966228</v>
      </c>
      <c r="F35" s="92"/>
      <c r="G35" s="92">
        <f t="shared" si="0"/>
        <v>53</v>
      </c>
      <c r="H35" s="28">
        <f>IF('E-Mixed'!A35&lt;'Adj-Mixed'!$B$10,'E-Mixed'!I35," ")</f>
        <v>18.719202784154728</v>
      </c>
      <c r="I35" s="126">
        <f>IF('E-Mixed'!A35&lt;'Adj-Mixed'!$B$10,'E-Mixed'!A35," ")</f>
        <v>53</v>
      </c>
      <c r="J35" s="26">
        <f>IF('E-Mixed'!A35&lt;'Adj-Mixed'!$B$10,'E-Mixed'!J35," ")</f>
        <v>628.20005908639996</v>
      </c>
      <c r="K35" s="28">
        <f>IF('E-Mixed'!A35&lt;'Adj-Mixed'!$B$10,'E-Mixed'!N35," ")</f>
        <v>18.111440102749285</v>
      </c>
      <c r="L35" s="27">
        <f>IF('E-Mixed'!A35&lt;'Adj-Mixed'!$B$10,'E-Mixed'!K35," ")</f>
        <v>0.6237465176248721</v>
      </c>
      <c r="M35" s="31">
        <f>IF('E-Mixed'!A35&lt;'Adj-Mixed'!$B$10,'E-Mixed'!M35," ")</f>
        <v>1.0071399860932071</v>
      </c>
      <c r="N35">
        <f>IF('E-Mixed'!A35&lt;'Adj-Mixed'!$B$10,1/L35," ")</f>
        <v>1.603215363522736</v>
      </c>
      <c r="P35">
        <f t="shared" si="2"/>
        <v>1.3849440613086148</v>
      </c>
      <c r="Q35">
        <f t="shared" si="3"/>
        <v>2.2203635967095456</v>
      </c>
      <c r="R35" s="106">
        <f t="shared" si="1"/>
        <v>41.268777920922098</v>
      </c>
    </row>
    <row r="36" spans="1:18" x14ac:dyDescent="0.25">
      <c r="A36" s="28">
        <f>IF('E-Mixed'!A36&lt;'Adj-Mixed'!$B$10,'E-Mixed'!B36," ")</f>
        <v>18.057789141224923</v>
      </c>
      <c r="B36" s="126">
        <f>IF('E-Mixed'!A36&lt;'Adj-Mixed'!$B$10,'E-Mixed'!A36," ")</f>
        <v>54</v>
      </c>
      <c r="C36" s="26">
        <f>IF('E-Mixed'!A36&lt;'Adj-Mixed'!$B$10,'E-Mixed'!C36," ")</f>
        <v>582.61574405570116</v>
      </c>
      <c r="D36" s="28">
        <f>IF('E-Mixed'!A36&lt;'Adj-Mixed'!$B$10,'E-Mixed'!G36," ")</f>
        <v>15.420237546348506</v>
      </c>
      <c r="E36" s="27">
        <f>IF('E-Mixed'!A36&lt;'Adj-Mixed'!$B$10,'E-Mixed'!D36," ")</f>
        <v>0.69848171850730134</v>
      </c>
      <c r="F36" s="92"/>
      <c r="G36" s="92">
        <f t="shared" si="0"/>
        <v>54</v>
      </c>
      <c r="H36" s="28">
        <f>IF('E-Mixed'!A36&lt;'Adj-Mixed'!$B$10,'E-Mixed'!I36," ")</f>
        <v>19.36146929628201</v>
      </c>
      <c r="I36" s="126">
        <f>IF('E-Mixed'!A36&lt;'Adj-Mixed'!$B$10,'E-Mixed'!A36," ")</f>
        <v>54</v>
      </c>
      <c r="J36" s="26">
        <f>IF('E-Mixed'!A36&lt;'Adj-Mixed'!$B$10,'E-Mixed'!J36," ")</f>
        <v>642.2665121272837</v>
      </c>
      <c r="K36" s="28">
        <f>IF('E-Mixed'!A36&lt;'Adj-Mixed'!$B$10,'E-Mixed'!N36," ")</f>
        <v>19.147155349674478</v>
      </c>
      <c r="L36" s="27">
        <f>IF('E-Mixed'!A36&lt;'Adj-Mixed'!$B$10,'E-Mixed'!K36," ")</f>
        <v>0.62011881550844261</v>
      </c>
      <c r="M36" s="31">
        <f>IF('E-Mixed'!A36&lt;'Adj-Mixed'!$B$10,'E-Mixed'!M36," ")</f>
        <v>1.0357152469251911</v>
      </c>
      <c r="N36">
        <f>IF('E-Mixed'!A36&lt;'Adj-Mixed'!$B$10,1/L36," ")</f>
        <v>1.6125941916148576</v>
      </c>
      <c r="P36">
        <f t="shared" si="2"/>
        <v>1.4159552818917207</v>
      </c>
      <c r="Q36">
        <f t="shared" si="3"/>
        <v>2.2833612631649669</v>
      </c>
      <c r="R36" s="106">
        <f t="shared" si="1"/>
        <v>42.684733202813817</v>
      </c>
    </row>
    <row r="37" spans="1:18" x14ac:dyDescent="0.25">
      <c r="A37" s="28">
        <f>IF('E-Mixed'!A37&lt;'Adj-Mixed'!$B$10,'E-Mixed'!B37," ")</f>
        <v>18.653450629046631</v>
      </c>
      <c r="B37" s="126">
        <f>IF('E-Mixed'!A37&lt;'Adj-Mixed'!$B$10,'E-Mixed'!A37," ")</f>
        <v>55</v>
      </c>
      <c r="C37" s="26">
        <f>IF('E-Mixed'!A37&lt;'Adj-Mixed'!$B$10,'E-Mixed'!C37," ")</f>
        <v>595.66148782170808</v>
      </c>
      <c r="D37" s="28">
        <f>IF('E-Mixed'!A37&lt;'Adj-Mixed'!$B$10,'E-Mixed'!G37," ")</f>
        <v>16.279369278208787</v>
      </c>
      <c r="E37" s="27">
        <f>IF('E-Mixed'!A37&lt;'Adj-Mixed'!$B$10,'E-Mixed'!D37," ")</f>
        <v>0.69332963238585466</v>
      </c>
      <c r="F37" s="92"/>
      <c r="G37" s="92">
        <f t="shared" si="0"/>
        <v>55</v>
      </c>
      <c r="H37" s="28">
        <f>IF('E-Mixed'!A37&lt;'Adj-Mixed'!$B$10,'E-Mixed'!I37," ")</f>
        <v>20.018117232928262</v>
      </c>
      <c r="I37" s="126">
        <f>IF('E-Mixed'!A37&lt;'Adj-Mixed'!$B$10,'E-Mixed'!A37," ")</f>
        <v>55</v>
      </c>
      <c r="J37" s="26">
        <f>IF('E-Mixed'!A37&lt;'Adj-Mixed'!$B$10,'E-Mixed'!J37," ")</f>
        <v>656.64793664625176</v>
      </c>
      <c r="K37" s="28">
        <f>IF('E-Mixed'!A37&lt;'Adj-Mixed'!$B$10,'E-Mixed'!N37," ")</f>
        <v>20.213930662721385</v>
      </c>
      <c r="L37" s="27">
        <f>IF('E-Mixed'!A37&lt;'Adj-Mixed'!$B$10,'E-Mixed'!K37," ")</f>
        <v>0.61554474369185064</v>
      </c>
      <c r="M37" s="31">
        <f>IF('E-Mixed'!A37&lt;'Adj-Mixed'!$B$10,'E-Mixed'!M37," ")</f>
        <v>1.0667753130469064</v>
      </c>
      <c r="N37">
        <f>IF('E-Mixed'!A37&lt;'Adj-Mixed'!$B$10,1/L37," ")</f>
        <v>1.6245772711863371</v>
      </c>
      <c r="P37">
        <f t="shared" si="2"/>
        <v>1.4476608957206483</v>
      </c>
      <c r="Q37">
        <f t="shared" si="3"/>
        <v>2.3518369875730194</v>
      </c>
      <c r="R37" s="106">
        <f t="shared" si="1"/>
        <v>44.132394098534462</v>
      </c>
    </row>
    <row r="38" spans="1:18" x14ac:dyDescent="0.25">
      <c r="A38" s="28">
        <f>IF('E-Mixed'!A38&lt;'Adj-Mixed'!$B$10,'E-Mixed'!B38," ")</f>
        <v>19.262449976719694</v>
      </c>
      <c r="B38" s="126">
        <f>IF('E-Mixed'!A38&lt;'Adj-Mixed'!$B$10,'E-Mixed'!A38," ")</f>
        <v>56</v>
      </c>
      <c r="C38" s="26">
        <f>IF('E-Mixed'!A38&lt;'Adj-Mixed'!$B$10,'E-Mixed'!C38," ")</f>
        <v>608.99934767306263</v>
      </c>
      <c r="D38" s="28">
        <f>IF('E-Mixed'!A38&lt;'Adj-Mixed'!$B$10,'E-Mixed'!G38," ")</f>
        <v>17.163515357582074</v>
      </c>
      <c r="E38" s="27">
        <f>IF('E-Mixed'!A38&lt;'Adj-Mixed'!$B$10,'E-Mixed'!D38," ")</f>
        <v>0.68879946637860923</v>
      </c>
      <c r="F38" s="92"/>
      <c r="G38" s="92">
        <f t="shared" si="0"/>
        <v>56</v>
      </c>
      <c r="H38" s="28">
        <f>IF('E-Mixed'!A38&lt;'Adj-Mixed'!$B$10,'E-Mixed'!I38," ")</f>
        <v>20.689468618311306</v>
      </c>
      <c r="I38" s="126">
        <f>IF('E-Mixed'!A38&lt;'Adj-Mixed'!$B$10,'E-Mixed'!A38," ")</f>
        <v>56</v>
      </c>
      <c r="J38" s="26">
        <f>IF('E-Mixed'!A38&lt;'Adj-Mixed'!$B$10,'E-Mixed'!J38," ")</f>
        <v>671.35138538304568</v>
      </c>
      <c r="K38" s="28">
        <f>IF('E-Mixed'!A38&lt;'Adj-Mixed'!$B$10,'E-Mixed'!N38," ")</f>
        <v>21.311766041890028</v>
      </c>
      <c r="L38" s="27">
        <f>IF('E-Mixed'!A38&lt;'Adj-Mixed'!$B$10,'E-Mixed'!K38," ")</f>
        <v>0.61152281855904511</v>
      </c>
      <c r="M38" s="31">
        <f>IF('E-Mixed'!A38&lt;'Adj-Mixed'!$B$10,'E-Mixed'!M38," ")</f>
        <v>1.0978353791686417</v>
      </c>
      <c r="N38">
        <f>IF('E-Mixed'!A38&lt;'Adj-Mixed'!$B$10,1/L38," ")</f>
        <v>1.6352619553205532</v>
      </c>
      <c r="P38">
        <f t="shared" si="2"/>
        <v>1.480076451424978</v>
      </c>
      <c r="Q38">
        <f t="shared" si="3"/>
        <v>2.4203127119811154</v>
      </c>
      <c r="R38" s="106">
        <f t="shared" si="1"/>
        <v>45.61247054995944</v>
      </c>
    </row>
    <row r="39" spans="1:18" x14ac:dyDescent="0.25">
      <c r="A39" s="28">
        <f>IF('E-Mixed'!A39&lt;'Adj-Mixed'!$B$10,'E-Mixed'!B39," ")</f>
        <v>19.885085841298569</v>
      </c>
      <c r="B39" s="126">
        <f>IF('E-Mixed'!A39&lt;'Adj-Mixed'!$B$10,'E-Mixed'!A39," ")</f>
        <v>57</v>
      </c>
      <c r="C39" s="26">
        <f>IF('E-Mixed'!A39&lt;'Adj-Mixed'!$B$10,'E-Mixed'!C39," ")</f>
        <v>622.63586457887504</v>
      </c>
      <c r="D39" s="28">
        <f>IF('E-Mixed'!A39&lt;'Adj-Mixed'!$B$10,'E-Mixed'!G39," ")</f>
        <v>18.077678653970967</v>
      </c>
      <c r="E39" s="27">
        <f>IF('E-Mixed'!A39&lt;'Adj-Mixed'!$B$10,'E-Mixed'!D39," ")</f>
        <v>0.68109917236712658</v>
      </c>
      <c r="F39" s="92"/>
      <c r="G39" s="92">
        <f t="shared" si="0"/>
        <v>57</v>
      </c>
      <c r="H39" s="28">
        <f>IF('E-Mixed'!A39&lt;'Adj-Mixed'!$B$10,'E-Mixed'!I39," ")</f>
        <v>21.375852687311333</v>
      </c>
      <c r="I39" s="126">
        <f>IF('E-Mixed'!A39&lt;'Adj-Mixed'!$B$10,'E-Mixed'!A39," ")</f>
        <v>57</v>
      </c>
      <c r="J39" s="26">
        <f>IF('E-Mixed'!A39&lt;'Adj-Mixed'!$B$10,'E-Mixed'!J39," ")</f>
        <v>686.38406900002587</v>
      </c>
      <c r="K39" s="28">
        <f>IF('E-Mixed'!A39&lt;'Adj-Mixed'!$B$10,'E-Mixed'!N39," ")</f>
        <v>22.446873500404724</v>
      </c>
      <c r="L39" s="27">
        <f>IF('E-Mixed'!A39&lt;'Adj-Mixed'!$B$10,'E-Mixed'!K39," ")</f>
        <v>0.60468642316752075</v>
      </c>
      <c r="M39" s="31">
        <f>IF('E-Mixed'!A39&lt;'Adj-Mixed'!$B$10,'E-Mixed'!M39," ")</f>
        <v>1.135107458514695</v>
      </c>
      <c r="N39">
        <f>IF('E-Mixed'!A39&lt;'Adj-Mixed'!$B$10,1/L39," ")</f>
        <v>1.65374971503695</v>
      </c>
      <c r="P39">
        <f t="shared" si="2"/>
        <v>1.5132178457940679</v>
      </c>
      <c r="Q39">
        <f t="shared" si="3"/>
        <v>2.5024835812707673</v>
      </c>
      <c r="R39" s="106">
        <f t="shared" si="1"/>
        <v>47.125688395753514</v>
      </c>
    </row>
    <row r="40" spans="1:18" x14ac:dyDescent="0.25">
      <c r="A40" s="28">
        <f>IF('E-Mixed'!A40&lt;'Adj-Mixed'!$B$10,'E-Mixed'!B40," ")</f>
        <v>20.521663567270142</v>
      </c>
      <c r="B40" s="126">
        <f>IF('E-Mixed'!A40&lt;'Adj-Mixed'!$B$10,'E-Mixed'!A40," ")</f>
        <v>58</v>
      </c>
      <c r="C40" s="26">
        <f>IF('E-Mixed'!A40&lt;'Adj-Mixed'!$B$10,'E-Mixed'!C40," ")</f>
        <v>636.5777259715735</v>
      </c>
      <c r="D40" s="28">
        <f>IF('E-Mixed'!A40&lt;'Adj-Mixed'!$B$10,'E-Mixed'!G40," ")</f>
        <v>19.02185916737546</v>
      </c>
      <c r="E40" s="27">
        <f>IF('E-Mixed'!A40&lt;'Adj-Mixed'!$B$10,'E-Mixed'!D40," ")</f>
        <v>0.67421188738181093</v>
      </c>
      <c r="F40" s="92"/>
      <c r="G40" s="92">
        <f t="shared" si="0"/>
        <v>58</v>
      </c>
      <c r="H40" s="28">
        <f>IF('E-Mixed'!A40&lt;'Adj-Mixed'!$B$10,'E-Mixed'!I40," ")</f>
        <v>22.077606046929766</v>
      </c>
      <c r="I40" s="126">
        <f>IF('E-Mixed'!A40&lt;'Adj-Mixed'!$B$10,'E-Mixed'!A40," ")</f>
        <v>58</v>
      </c>
      <c r="J40" s="26">
        <f>IF('E-Mixed'!A40&lt;'Adj-Mixed'!$B$10,'E-Mixed'!J40," ")</f>
        <v>701.75335961843109</v>
      </c>
      <c r="K40" s="28">
        <f>IF('E-Mixed'!A40&lt;'Adj-Mixed'!$B$10,'E-Mixed'!N40," ")</f>
        <v>23.619253038265491</v>
      </c>
      <c r="L40" s="27">
        <f>IF('E-Mixed'!A40&lt;'Adj-Mixed'!$B$10,'E-Mixed'!K40," ")</f>
        <v>0.59857182504133033</v>
      </c>
      <c r="M40" s="31">
        <f>IF('E-Mixed'!A40&lt;'Adj-Mixed'!$B$10,'E-Mixed'!M40," ")</f>
        <v>1.1723795378607675</v>
      </c>
      <c r="N40">
        <f>IF('E-Mixed'!A40&lt;'Adj-Mixed'!$B$10,1/L40," ")</f>
        <v>1.6706432848404646</v>
      </c>
      <c r="P40">
        <f t="shared" si="2"/>
        <v>1.5471013315731723</v>
      </c>
      <c r="Q40">
        <f t="shared" si="3"/>
        <v>2.5846544505604614</v>
      </c>
      <c r="R40" s="106">
        <f t="shared" si="1"/>
        <v>48.672789727326688</v>
      </c>
    </row>
    <row r="41" spans="1:18" x14ac:dyDescent="0.25">
      <c r="A41" s="28">
        <f>IF('E-Mixed'!A41&lt;'Adj-Mixed'!$B$10,'E-Mixed'!B41," ")</f>
        <v>21.172495336296514</v>
      </c>
      <c r="B41" s="126">
        <f>IF('E-Mixed'!A41&lt;'Adj-Mixed'!$B$10,'E-Mixed'!A41," ")</f>
        <v>59</v>
      </c>
      <c r="C41" s="26">
        <f>IF('E-Mixed'!A41&lt;'Adj-Mixed'!$B$10,'E-Mixed'!C41," ")</f>
        <v>650.8317690263716</v>
      </c>
      <c r="D41" s="28">
        <f>IF('E-Mixed'!A41&lt;'Adj-Mixed'!$B$10,'E-Mixed'!G41," ")</f>
        <v>19.996056897795565</v>
      </c>
      <c r="E41" s="27">
        <f>IF('E-Mixed'!A41&lt;'Adj-Mixed'!$B$10,'E-Mixed'!D41," ")</f>
        <v>0.66806947779042103</v>
      </c>
      <c r="F41" s="92"/>
      <c r="G41" s="92">
        <f t="shared" si="0"/>
        <v>59</v>
      </c>
      <c r="H41" s="28">
        <f>IF('E-Mixed'!A41&lt;'Adj-Mixed'!$B$10,'E-Mixed'!I41," ")</f>
        <v>22.795072841363378</v>
      </c>
      <c r="I41" s="126">
        <f>IF('E-Mixed'!A41&lt;'Adj-Mixed'!$B$10,'E-Mixed'!A41," ")</f>
        <v>59</v>
      </c>
      <c r="J41" s="26">
        <f>IF('E-Mixed'!A41&lt;'Adj-Mixed'!$B$10,'E-Mixed'!J41," ")</f>
        <v>717.46679443361188</v>
      </c>
      <c r="K41" s="28">
        <f>IF('E-Mixed'!A41&lt;'Adj-Mixed'!$B$10,'E-Mixed'!N41," ")</f>
        <v>24.828904655472325</v>
      </c>
      <c r="L41" s="27">
        <f>IF('E-Mixed'!A41&lt;'Adj-Mixed'!$B$10,'E-Mixed'!K41," ")</f>
        <v>0.59311853448374707</v>
      </c>
      <c r="M41" s="31">
        <f>IF('E-Mixed'!A41&lt;'Adj-Mixed'!$B$10,'E-Mixed'!M41," ")</f>
        <v>1.2096516172068337</v>
      </c>
      <c r="N41">
        <f>IF('E-Mixed'!A41&lt;'Adj-Mixed'!$B$10,1/L41," ")</f>
        <v>1.6860036263584384</v>
      </c>
      <c r="P41">
        <f t="shared" si="2"/>
        <v>1.581743525433666</v>
      </c>
      <c r="Q41">
        <f t="shared" si="3"/>
        <v>2.6668253198501413</v>
      </c>
      <c r="R41" s="106">
        <f t="shared" si="1"/>
        <v>50.254533252760353</v>
      </c>
    </row>
    <row r="42" spans="1:18" x14ac:dyDescent="0.25">
      <c r="A42" s="28">
        <f>IF('E-Mixed'!A42&lt;'Adj-Mixed'!$B$10,'E-Mixed'!B42," ")</f>
        <v>21.837527586510877</v>
      </c>
      <c r="B42" s="126">
        <f>IF('E-Mixed'!A42&lt;'Adj-Mixed'!$B$10,'E-Mixed'!A42," ")</f>
        <v>60</v>
      </c>
      <c r="C42" s="26">
        <f>IF('E-Mixed'!A42&lt;'Adj-Mixed'!$B$10,'E-Mixed'!C42," ")</f>
        <v>665.0322502143631</v>
      </c>
      <c r="D42" s="28">
        <f>IF('E-Mixed'!A42&lt;'Adj-Mixed'!$B$10,'E-Mixed'!G42," ")</f>
        <v>20.993364108633937</v>
      </c>
      <c r="E42" s="27">
        <f>IF('E-Mixed'!A42&lt;'Adj-Mixed'!$B$10,'E-Mixed'!D42," ")</f>
        <v>0.666827877094472</v>
      </c>
      <c r="F42" s="92"/>
      <c r="G42" s="92">
        <f t="shared" si="0"/>
        <v>60</v>
      </c>
      <c r="H42" s="28">
        <f>IF('E-Mixed'!A42&lt;'Adj-Mixed'!$B$10,'E-Mixed'!I42," ")</f>
        <v>23.528194024845337</v>
      </c>
      <c r="I42" s="126">
        <f>IF('E-Mixed'!A42&lt;'Adj-Mixed'!$B$10,'E-Mixed'!A42," ")</f>
        <v>60</v>
      </c>
      <c r="J42" s="26">
        <f>IF('E-Mixed'!A42&lt;'Adj-Mixed'!$B$10,'E-Mixed'!J42," ")</f>
        <v>733.12118348195941</v>
      </c>
      <c r="K42" s="28">
        <f>IF('E-Mixed'!A42&lt;'Adj-Mixed'!$B$10,'E-Mixed'!N42," ")</f>
        <v>26.067251084305049</v>
      </c>
      <c r="L42" s="27">
        <f>IF('E-Mixed'!A42&lt;'Adj-Mixed'!$B$10,'E-Mixed'!K42," ")</f>
        <v>0.5920162293947151</v>
      </c>
      <c r="M42" s="31">
        <f>IF('E-Mixed'!A42&lt;'Adj-Mixed'!$B$10,'E-Mixed'!M42," ")</f>
        <v>1.2383464288327228</v>
      </c>
      <c r="N42">
        <f>IF('E-Mixed'!A42&lt;'Adj-Mixed'!$B$10,1/L42," ")</f>
        <v>1.6891428821510732</v>
      </c>
      <c r="P42">
        <f t="shared" si="2"/>
        <v>1.6162555456608747</v>
      </c>
      <c r="Q42">
        <f t="shared" si="3"/>
        <v>2.7300865506902654</v>
      </c>
      <c r="R42" s="106">
        <f t="shared" si="1"/>
        <v>51.870788798421223</v>
      </c>
    </row>
    <row r="43" spans="1:18" x14ac:dyDescent="0.25">
      <c r="A43" s="28">
        <f>IF('E-Mixed'!A43&lt;'Adj-Mixed'!$B$10,'E-Mixed'!B43," ")</f>
        <v>22.51948983261164</v>
      </c>
      <c r="B43" s="126">
        <f>IF('E-Mixed'!A43&lt;'Adj-Mixed'!$B$10,'E-Mixed'!A43," ")</f>
        <v>61</v>
      </c>
      <c r="C43" s="26">
        <f>IF('E-Mixed'!A43&lt;'Adj-Mixed'!$B$10,'E-Mixed'!C43," ")</f>
        <v>681.96224610076331</v>
      </c>
      <c r="D43" s="28">
        <f>IF('E-Mixed'!A43&lt;'Adj-Mixed'!$B$10,'E-Mixed'!G43," ")</f>
        <v>22.038723360591543</v>
      </c>
      <c r="E43" s="27">
        <f>IF('E-Mixed'!A43&lt;'Adj-Mixed'!$B$10,'E-Mixed'!D43," ")</f>
        <v>0.65237117749106799</v>
      </c>
      <c r="F43" s="92"/>
      <c r="G43" s="92">
        <f t="shared" si="0"/>
        <v>61</v>
      </c>
      <c r="H43" s="28">
        <f>IF('E-Mixed'!A43&lt;'Adj-Mixed'!$B$10,'E-Mixed'!I43," ")</f>
        <v>24.279978571820696</v>
      </c>
      <c r="I43" s="126">
        <f>IF('E-Mixed'!A43&lt;'Adj-Mixed'!$B$10,'E-Mixed'!A43," ")</f>
        <v>61</v>
      </c>
      <c r="J43" s="26">
        <f>IF('E-Mixed'!A43&lt;'Adj-Mixed'!$B$10,'E-Mixed'!J43," ")</f>
        <v>751.78454697535642</v>
      </c>
      <c r="K43" s="28">
        <f>IF('E-Mixed'!A43&lt;'Adj-Mixed'!$B$10,'E-Mixed'!N43," ")</f>
        <v>27.365263253915977</v>
      </c>
      <c r="L43" s="27">
        <f>IF('E-Mixed'!A43&lt;'Adj-Mixed'!$B$10,'E-Mixed'!K43," ")</f>
        <v>0.57918143186646664</v>
      </c>
      <c r="M43" s="31">
        <f>IF('E-Mixed'!A43&lt;'Adj-Mixed'!$B$10,'E-Mixed'!M43," ")</f>
        <v>1.2980121696109284</v>
      </c>
      <c r="N43">
        <f>IF('E-Mixed'!A43&lt;'Adj-Mixed'!$B$10,1/L43," ")</f>
        <v>1.7265746879650576</v>
      </c>
      <c r="P43">
        <f t="shared" si="2"/>
        <v>1.6574012190182044</v>
      </c>
      <c r="Q43">
        <f t="shared" si="3"/>
        <v>2.8616269925592626</v>
      </c>
      <c r="R43" s="106">
        <f t="shared" si="1"/>
        <v>53.528190017439435</v>
      </c>
    </row>
    <row r="44" spans="1:18" x14ac:dyDescent="0.25">
      <c r="A44" s="28">
        <f>IF('E-Mixed'!A44&lt;'Adj-Mixed'!$B$10,'E-Mixed'!B44," ")</f>
        <v>23.211066481537145</v>
      </c>
      <c r="B44" s="126">
        <f>IF('E-Mixed'!A44&lt;'Adj-Mixed'!$B$10,'E-Mixed'!A44," ")</f>
        <v>62</v>
      </c>
      <c r="C44" s="26">
        <f>IF('E-Mixed'!A44&lt;'Adj-Mixed'!$B$10,'E-Mixed'!C44," ")</f>
        <v>691.57664892550486</v>
      </c>
      <c r="D44" s="28">
        <f>IF('E-Mixed'!A44&lt;'Adj-Mixed'!$B$10,'E-Mixed'!G44," ")</f>
        <v>23.112838698282836</v>
      </c>
      <c r="E44" s="27">
        <f>IF('E-Mixed'!A44&lt;'Adj-Mixed'!$B$10,'E-Mixed'!D44," ")</f>
        <v>0.6438569720193934</v>
      </c>
      <c r="F44" s="92"/>
      <c r="G44" s="92">
        <f t="shared" si="0"/>
        <v>62</v>
      </c>
      <c r="H44" s="28">
        <f>IF('E-Mixed'!A44&lt;'Adj-Mixed'!$B$10,'E-Mixed'!I44," ")</f>
        <v>25.042361886562691</v>
      </c>
      <c r="I44" s="126">
        <f>IF('E-Mixed'!A44&lt;'Adj-Mixed'!$B$10,'E-Mixed'!A44," ")</f>
        <v>62</v>
      </c>
      <c r="J44" s="26">
        <f>IF('E-Mixed'!A44&lt;'Adj-Mixed'!$B$10,'E-Mixed'!J44," ")</f>
        <v>762.38331474199458</v>
      </c>
      <c r="K44" s="28">
        <f>IF('E-Mixed'!A44&lt;'Adj-Mixed'!$B$10,'E-Mixed'!N44," ")</f>
        <v>28.698981568723219</v>
      </c>
      <c r="L44" s="27">
        <f>IF('E-Mixed'!A44&lt;'Adj-Mixed'!$B$10,'E-Mixed'!K44," ")</f>
        <v>0.57162243801996526</v>
      </c>
      <c r="M44" s="31">
        <f>IF('E-Mixed'!A44&lt;'Adj-Mixed'!$B$10,'E-Mixed'!M44," ")</f>
        <v>1.3337183148072409</v>
      </c>
      <c r="N44">
        <f>IF('E-Mixed'!A44&lt;'Adj-Mixed'!$B$10,1/L44," ")</f>
        <v>1.7494064849236597</v>
      </c>
      <c r="P44">
        <f t="shared" si="2"/>
        <v>1.6807675022002564</v>
      </c>
      <c r="Q44">
        <f t="shared" si="3"/>
        <v>2.9403455679980706</v>
      </c>
      <c r="R44" s="106">
        <f t="shared" si="1"/>
        <v>55.208957519639696</v>
      </c>
    </row>
    <row r="45" spans="1:18" x14ac:dyDescent="0.25">
      <c r="A45" s="28">
        <f>IF('E-Mixed'!A45&lt;'Adj-Mixed'!$B$10,'E-Mixed'!B45," ")</f>
        <v>23.9121241665786</v>
      </c>
      <c r="B45" s="126">
        <f>IF('E-Mixed'!A45&lt;'Adj-Mixed'!$B$10,'E-Mixed'!A45," ")</f>
        <v>63</v>
      </c>
      <c r="C45" s="26">
        <f>IF('E-Mixed'!A45&lt;'Adj-Mixed'!$B$10,'E-Mixed'!C45," ")</f>
        <v>701.05768504145522</v>
      </c>
      <c r="D45" s="28">
        <f>IF('E-Mixed'!A45&lt;'Adj-Mixed'!$B$10,'E-Mixed'!G45," ")</f>
        <v>24.215821131586939</v>
      </c>
      <c r="E45" s="27">
        <f>IF('E-Mixed'!A45&lt;'Adj-Mixed'!$B$10,'E-Mixed'!D45," ")</f>
        <v>0.63560185899004595</v>
      </c>
      <c r="F45" s="92"/>
      <c r="G45" s="92">
        <f t="shared" si="0"/>
        <v>63</v>
      </c>
      <c r="H45" s="28">
        <f>IF('E-Mixed'!A45&lt;'Adj-Mixed'!$B$10,'E-Mixed'!I45," ")</f>
        <v>25.815196947691</v>
      </c>
      <c r="I45" s="126">
        <f>IF('E-Mixed'!A45&lt;'Adj-Mixed'!$B$10,'E-Mixed'!A45," ")</f>
        <v>63</v>
      </c>
      <c r="J45" s="26">
        <f>IF('E-Mixed'!A45&lt;'Adj-Mixed'!$B$10,'E-Mixed'!J45," ")</f>
        <v>772.83506112830935</v>
      </c>
      <c r="K45" s="28">
        <f>IF('E-Mixed'!A45&lt;'Adj-Mixed'!$B$10,'E-Mixed'!N45," ")</f>
        <v>30.068543868587831</v>
      </c>
      <c r="L45" s="27">
        <f>IF('E-Mixed'!A45&lt;'Adj-Mixed'!$B$10,'E-Mixed'!K45," ")</f>
        <v>0.56429346894603283</v>
      </c>
      <c r="M45" s="31">
        <f>IF('E-Mixed'!A45&lt;'Adj-Mixed'!$B$10,'E-Mixed'!M45," ")</f>
        <v>1.3695622998646131</v>
      </c>
      <c r="N45">
        <f>IF('E-Mixed'!A45&lt;'Adj-Mixed'!$B$10,1/L45," ")</f>
        <v>1.7721275453847876</v>
      </c>
      <c r="O45" s="19"/>
      <c r="P45">
        <f t="shared" si="2"/>
        <v>1.7038096587213523</v>
      </c>
      <c r="Q45">
        <f t="shared" si="3"/>
        <v>3.0193680283127624</v>
      </c>
      <c r="R45" s="106">
        <f t="shared" si="1"/>
        <v>56.912767178361044</v>
      </c>
    </row>
    <row r="46" spans="1:18" x14ac:dyDescent="0.25">
      <c r="A46" s="28">
        <f>IF('E-Mixed'!A46&lt;'Adj-Mixed'!$B$10,'E-Mixed'!B46," ")</f>
        <v>24.622527461583413</v>
      </c>
      <c r="B46" s="126">
        <f>IF('E-Mixed'!A46&lt;'Adj-Mixed'!$B$10,'E-Mixed'!A46," ")</f>
        <v>64</v>
      </c>
      <c r="C46" s="26">
        <f>IF('E-Mixed'!A46&lt;'Adj-Mixed'!$B$10,'E-Mixed'!C46," ")</f>
        <v>710.40329500481289</v>
      </c>
      <c r="D46" s="28">
        <f>IF('E-Mixed'!A46&lt;'Adj-Mixed'!$B$10,'E-Mixed'!G46," ")</f>
        <v>25.347761273954386</v>
      </c>
      <c r="E46" s="27">
        <f>IF('E-Mixed'!A46&lt;'Adj-Mixed'!$B$10,'E-Mixed'!D46," ")</f>
        <v>0.62759793421497501</v>
      </c>
      <c r="F46" s="92"/>
      <c r="G46" s="92">
        <f t="shared" si="0"/>
        <v>64</v>
      </c>
      <c r="H46" s="28">
        <f>IF('E-Mixed'!A46&lt;'Adj-Mixed'!$B$10,'E-Mixed'!I46," ")</f>
        <v>26.598334463526566</v>
      </c>
      <c r="I46" s="126">
        <f>IF('E-Mixed'!A46&lt;'Adj-Mixed'!$B$10,'E-Mixed'!A46," ")</f>
        <v>64</v>
      </c>
      <c r="J46" s="26">
        <f>IF('E-Mixed'!A46&lt;'Adj-Mixed'!$B$10,'E-Mixed'!J46," ")</f>
        <v>783.13751583556461</v>
      </c>
      <c r="K46" s="28">
        <f>IF('E-Mixed'!A46&lt;'Adj-Mixed'!$B$10,'E-Mixed'!N46," ")</f>
        <v>31.474062667328667</v>
      </c>
      <c r="L46" s="27">
        <f>IF('E-Mixed'!A46&lt;'Adj-Mixed'!$B$10,'E-Mixed'!K46," ")</f>
        <v>0.5571875072301804</v>
      </c>
      <c r="M46" s="31">
        <f>IF('E-Mixed'!A46&lt;'Adj-Mixed'!$B$10,'E-Mixed'!M46," ")</f>
        <v>1.4055187987408371</v>
      </c>
      <c r="N46">
        <f>IF('E-Mixed'!A46&lt;'Adj-Mixed'!$B$10,1/L46," ")</f>
        <v>1.7947279632507784</v>
      </c>
      <c r="O46" s="19"/>
      <c r="P46">
        <f t="shared" si="2"/>
        <v>1.7265226834295395</v>
      </c>
      <c r="Q46">
        <f t="shared" si="3"/>
        <v>3.0986385391377662</v>
      </c>
      <c r="R46" s="106">
        <f t="shared" si="1"/>
        <v>58.639289861790587</v>
      </c>
    </row>
    <row r="47" spans="1:18" x14ac:dyDescent="0.25">
      <c r="A47" s="28">
        <f>IF('E-Mixed'!A47&lt;'Adj-Mixed'!$B$10,'E-Mixed'!B47," ")</f>
        <v>25.342138974993631</v>
      </c>
      <c r="B47" s="126">
        <f>IF('E-Mixed'!A47&lt;'Adj-Mixed'!$B$10,'E-Mixed'!A47," ")</f>
        <v>65</v>
      </c>
      <c r="C47" s="26">
        <f>IF('E-Mixed'!A47&lt;'Adj-Mixed'!$B$10,'E-Mixed'!C47," ")</f>
        <v>719.61151341021787</v>
      </c>
      <c r="D47" s="28">
        <f>IF('E-Mixed'!A47&lt;'Adj-Mixed'!$B$10,'E-Mixed'!G47," ")</f>
        <v>26.508729400508958</v>
      </c>
      <c r="E47" s="27">
        <f>IF('E-Mixed'!A47&lt;'Adj-Mixed'!$B$10,'E-Mixed'!D47," ")</f>
        <v>0.61983744165813159</v>
      </c>
      <c r="F47" s="92"/>
      <c r="G47" s="92">
        <f t="shared" si="0"/>
        <v>65</v>
      </c>
      <c r="H47" s="28">
        <f>IF('E-Mixed'!A47&lt;'Adj-Mixed'!$B$10,'E-Mixed'!I47," ")</f>
        <v>27.391622975758104</v>
      </c>
      <c r="I47" s="126">
        <f>IF('E-Mixed'!A47&lt;'Adj-Mixed'!$B$10,'E-Mixed'!A47," ")</f>
        <v>65</v>
      </c>
      <c r="J47" s="26">
        <f>IF('E-Mixed'!A47&lt;'Adj-Mixed'!$B$10,'E-Mixed'!J47," ")</f>
        <v>793.28851223153617</v>
      </c>
      <c r="K47" s="28">
        <f>IF('E-Mixed'!A47&lt;'Adj-Mixed'!$B$10,'E-Mixed'!N47," ")</f>
        <v>32.915625224866879</v>
      </c>
      <c r="L47" s="27">
        <f>IF('E-Mixed'!A47&lt;'Adj-Mixed'!$B$10,'E-Mixed'!K47," ")</f>
        <v>0.55029766698869731</v>
      </c>
      <c r="M47" s="31">
        <f>IF('E-Mixed'!A47&lt;'Adj-Mixed'!$B$10,'E-Mixed'!M47," ")</f>
        <v>1.4415625575382092</v>
      </c>
      <c r="N47">
        <f>IF('E-Mixed'!A47&lt;'Adj-Mixed'!$B$10,1/L47," ")</f>
        <v>1.8171983273564183</v>
      </c>
      <c r="O47" s="19"/>
      <c r="P47">
        <f t="shared" si="2"/>
        <v>1.748901799718404</v>
      </c>
      <c r="Q47">
        <f t="shared" si="3"/>
        <v>3.1781014251589133</v>
      </c>
      <c r="R47" s="106">
        <f t="shared" si="1"/>
        <v>60.388191661508998</v>
      </c>
    </row>
    <row r="48" spans="1:18" x14ac:dyDescent="0.25">
      <c r="A48" s="28">
        <f>IF('E-Mixed'!A48&lt;'Adj-Mixed'!$B$10,'E-Mixed'!B48," ")</f>
        <v>26.070819443687867</v>
      </c>
      <c r="B48" s="126">
        <f>IF('E-Mixed'!A48&lt;'Adj-Mixed'!$B$10,'E-Mixed'!A48," ")</f>
        <v>66</v>
      </c>
      <c r="C48" s="26">
        <f>IF('E-Mixed'!A48&lt;'Adj-Mixed'!$B$10,'E-Mixed'!C48," ")</f>
        <v>728.68046869423608</v>
      </c>
      <c r="D48" s="28">
        <f>IF('E-Mixed'!A48&lt;'Adj-Mixed'!$B$10,'E-Mixed'!G48," ")</f>
        <v>27.698775548311907</v>
      </c>
      <c r="E48" s="27">
        <f>IF('E-Mixed'!A48&lt;'Adj-Mixed'!$B$10,'E-Mixed'!D48," ")</f>
        <v>0.61231278302905834</v>
      </c>
      <c r="F48" s="92"/>
      <c r="G48" s="92">
        <f t="shared" si="0"/>
        <v>66</v>
      </c>
      <c r="H48" s="28">
        <f>IF('E-Mixed'!A48&lt;'Adj-Mixed'!$B$10,'E-Mixed'!I48," ")</f>
        <v>28.194908962891979</v>
      </c>
      <c r="I48" s="126">
        <f>IF('E-Mixed'!A48&lt;'Adj-Mixed'!$B$10,'E-Mixed'!A48," ")</f>
        <v>66</v>
      </c>
      <c r="J48" s="26">
        <f>IF('E-Mixed'!A48&lt;'Adj-Mixed'!$B$10,'E-Mixed'!J48," ")</f>
        <v>803.28598713387566</v>
      </c>
      <c r="K48" s="28">
        <f>IF('E-Mixed'!A48&lt;'Adj-Mixed'!$B$10,'E-Mixed'!N48," ")</f>
        <v>34.393293671722972</v>
      </c>
      <c r="L48" s="27">
        <f>IF('E-Mixed'!A48&lt;'Adj-Mixed'!$B$10,'E-Mixed'!K48," ")</f>
        <v>0.5436172023859327</v>
      </c>
      <c r="M48" s="31">
        <f>IF('E-Mixed'!A48&lt;'Adj-Mixed'!$B$10,'E-Mixed'!M48," ")</f>
        <v>1.4776684468560932</v>
      </c>
      <c r="N48">
        <f>IF('E-Mixed'!A48&lt;'Adj-Mixed'!$B$10,1/L48," ")</f>
        <v>1.8395297198304357</v>
      </c>
      <c r="O48" s="19"/>
      <c r="P48">
        <f t="shared" si="2"/>
        <v>1.7709424590494669</v>
      </c>
      <c r="Q48">
        <f t="shared" si="3"/>
        <v>3.2577012855310885</v>
      </c>
      <c r="R48" s="106">
        <f t="shared" si="1"/>
        <v>62.159134120558463</v>
      </c>
    </row>
    <row r="49" spans="1:18" x14ac:dyDescent="0.25">
      <c r="A49" s="28">
        <f>IF('E-Mixed'!A49&lt;'Adj-Mixed'!$B$10,'E-Mixed'!B49," ")</f>
        <v>26.808427826571503</v>
      </c>
      <c r="B49" s="126">
        <f>IF('E-Mixed'!A49&lt;'Adj-Mixed'!$B$10,'E-Mixed'!A49," ")</f>
        <v>67</v>
      </c>
      <c r="C49" s="26">
        <f>IF('E-Mixed'!A49&lt;'Adj-Mixed'!$B$10,'E-Mixed'!C49," ")</f>
        <v>737.60838288363573</v>
      </c>
      <c r="D49" s="28">
        <f>IF('E-Mixed'!A49&lt;'Adj-Mixed'!$B$10,'E-Mixed'!G49," ")</f>
        <v>28.917929658200894</v>
      </c>
      <c r="E49" s="27">
        <f>IF('E-Mixed'!A49&lt;'Adj-Mixed'!$B$10,'E-Mixed'!D49," ")</f>
        <v>0.605016524900859</v>
      </c>
      <c r="F49" s="92"/>
      <c r="G49" s="92">
        <f t="shared" si="0"/>
        <v>67</v>
      </c>
      <c r="H49" s="28">
        <f>IF('E-Mixed'!A49&lt;'Adj-Mixed'!$B$10,'E-Mixed'!I49," ")</f>
        <v>29.008036943424592</v>
      </c>
      <c r="I49" s="126">
        <f>IF('E-Mixed'!A49&lt;'Adj-Mixed'!$B$10,'E-Mixed'!A49," ")</f>
        <v>67</v>
      </c>
      <c r="J49" s="26">
        <f>IF('E-Mixed'!A49&lt;'Adj-Mixed'!$B$10,'E-Mixed'!J49," ")</f>
        <v>813.12798053261417</v>
      </c>
      <c r="K49" s="28">
        <f>IF('E-Mixed'!A49&lt;'Adj-Mixed'!$B$10,'E-Mixed'!N49," ")</f>
        <v>35.9071051851368</v>
      </c>
      <c r="L49" s="27">
        <f>IF('E-Mixed'!A49&lt;'Adj-Mixed'!$B$10,'E-Mixed'!K49," ")</f>
        <v>0.53713951395369697</v>
      </c>
      <c r="M49" s="31">
        <f>IF('E-Mixed'!A49&lt;'Adj-Mixed'!$B$10,'E-Mixed'!M49," ")</f>
        <v>1.5138115134138284</v>
      </c>
      <c r="N49">
        <f>IF('E-Mixed'!A49&lt;'Adj-Mixed'!$B$10,1/L49," ")</f>
        <v>1.8617137150073881</v>
      </c>
      <c r="O49" s="19"/>
      <c r="P49">
        <f t="shared" si="2"/>
        <v>1.7926403403404121</v>
      </c>
      <c r="Q49">
        <f t="shared" si="3"/>
        <v>3.3373831076872573</v>
      </c>
      <c r="R49" s="106">
        <f t="shared" si="1"/>
        <v>63.951774460898875</v>
      </c>
    </row>
    <row r="50" spans="1:18" x14ac:dyDescent="0.25">
      <c r="A50" s="28">
        <f>IF('E-Mixed'!A50&lt;'Adj-Mixed'!$B$10,'E-Mixed'!B50," ")</f>
        <v>27.554821397858962</v>
      </c>
      <c r="B50" s="126">
        <f>IF('E-Mixed'!A50&lt;'Adj-Mixed'!$B$10,'E-Mixed'!A50," ")</f>
        <v>68</v>
      </c>
      <c r="C50" s="26">
        <f>IF('E-Mixed'!A50&lt;'Adj-Mixed'!$B$10,'E-Mixed'!C50," ")</f>
        <v>746.39357128745939</v>
      </c>
      <c r="D50" s="28">
        <f>IF('E-Mixed'!A50&lt;'Adj-Mixed'!$B$10,'E-Mixed'!G50," ")</f>
        <v>30.166201757443694</v>
      </c>
      <c r="E50" s="27">
        <f>IF('E-Mixed'!A50&lt;'Adj-Mixed'!$B$10,'E-Mixed'!D50," ")</f>
        <v>0.59794140375341454</v>
      </c>
      <c r="F50" s="92"/>
      <c r="G50" s="92">
        <f t="shared" si="0"/>
        <v>68</v>
      </c>
      <c r="H50" s="28">
        <f>IF('E-Mixed'!A50&lt;'Adj-Mixed'!$B$10,'E-Mixed'!I50," ")</f>
        <v>29.830849578675302</v>
      </c>
      <c r="I50" s="126">
        <f>IF('E-Mixed'!A50&lt;'Adj-Mixed'!$B$10,'E-Mixed'!A50," ")</f>
        <v>68</v>
      </c>
      <c r="J50" s="26">
        <f>IF('E-Mixed'!A50&lt;'Adj-Mixed'!$B$10,'E-Mixed'!J50," ")</f>
        <v>822.81263525070824</v>
      </c>
      <c r="K50" s="28">
        <f>IF('E-Mixed'!A50&lt;'Adj-Mixed'!$B$10,'E-Mixed'!N50," ")</f>
        <v>37.457072215866866</v>
      </c>
      <c r="L50" s="27">
        <f>IF('E-Mixed'!A50&lt;'Adj-Mixed'!$B$10,'E-Mixed'!K50," ")</f>
        <v>0.5308581530686789</v>
      </c>
      <c r="M50" s="31">
        <f>IF('E-Mixed'!A50&lt;'Adj-Mixed'!$B$10,'E-Mixed'!M50," ")</f>
        <v>1.5499670307300681</v>
      </c>
      <c r="N50">
        <f>IF('E-Mixed'!A50&lt;'Adj-Mixed'!$B$10,1/L50," ")</f>
        <v>1.8837423786738501</v>
      </c>
      <c r="O50" s="19"/>
      <c r="P50">
        <f t="shared" si="2"/>
        <v>1.8139913492167168</v>
      </c>
      <c r="Q50">
        <f t="shared" si="3"/>
        <v>3.4170923790672845</v>
      </c>
      <c r="R50" s="106">
        <f t="shared" si="1"/>
        <v>65.765765810115596</v>
      </c>
    </row>
    <row r="51" spans="1:18" x14ac:dyDescent="0.25">
      <c r="A51" s="28">
        <f>IF('E-Mixed'!A51&lt;'Adj-Mixed'!$B$10,'E-Mixed'!B51," ")</f>
        <v>28.309855839989758</v>
      </c>
      <c r="B51" s="126">
        <f>IF('E-Mixed'!A51&lt;'Adj-Mixed'!$B$10,'E-Mixed'!A51," ")</f>
        <v>69</v>
      </c>
      <c r="C51" s="26">
        <f>IF('E-Mixed'!A51&lt;'Adj-Mixed'!$B$10,'E-Mixed'!C51," ")</f>
        <v>755.03444213079615</v>
      </c>
      <c r="D51" s="28">
        <f>IF('E-Mixed'!A51&lt;'Adj-Mixed'!$B$10,'E-Mixed'!G51," ")</f>
        <v>31.443582182280412</v>
      </c>
      <c r="E51" s="27">
        <f>IF('E-Mixed'!A51&lt;'Adj-Mixed'!$B$10,'E-Mixed'!D51," ")</f>
        <v>0.59108032928194298</v>
      </c>
      <c r="F51" s="92"/>
      <c r="G51" s="92">
        <f t="shared" si="0"/>
        <v>69</v>
      </c>
      <c r="H51" s="28">
        <f>IF('E-Mixed'!A51&lt;'Adj-Mixed'!$B$10,'E-Mixed'!I51," ")</f>
        <v>30.663187775215619</v>
      </c>
      <c r="I51" s="126">
        <f>IF('E-Mixed'!A51&lt;'Adj-Mixed'!$B$10,'E-Mixed'!A51," ")</f>
        <v>69</v>
      </c>
      <c r="J51" s="26">
        <f>IF('E-Mixed'!A51&lt;'Adj-Mixed'!$B$10,'E-Mixed'!J51," ")</f>
        <v>832.3381965403147</v>
      </c>
      <c r="K51" s="28">
        <f>IF('E-Mixed'!A51&lt;'Adj-Mixed'!$B$10,'E-Mixed'!N51," ")</f>
        <v>39.043182764518789</v>
      </c>
      <c r="L51" s="27">
        <f>IF('E-Mixed'!A51&lt;'Adj-Mixed'!$B$10,'E-Mixed'!K51," ")</f>
        <v>0.52476682488981596</v>
      </c>
      <c r="M51" s="31">
        <f>IF('E-Mixed'!A51&lt;'Adj-Mixed'!$B$10,'E-Mixed'!M51," ")</f>
        <v>1.5861105486519251</v>
      </c>
      <c r="N51">
        <f>IF('E-Mixed'!A51&lt;'Adj-Mixed'!$B$10,1/L51," ")</f>
        <v>1.9056082674623489</v>
      </c>
      <c r="O51" s="19"/>
      <c r="P51">
        <f t="shared" si="2"/>
        <v>1.8349916171215901</v>
      </c>
      <c r="Q51">
        <f t="shared" si="3"/>
        <v>3.4967751963110074</v>
      </c>
      <c r="R51" s="106">
        <f t="shared" si="1"/>
        <v>67.600757427237184</v>
      </c>
    </row>
    <row r="52" spans="1:18" x14ac:dyDescent="0.25">
      <c r="A52" s="28">
        <f>IF('E-Mixed'!A52&lt;'Adj-Mixed'!$B$10,'E-Mixed'!B52," ")</f>
        <v>29.073385336120136</v>
      </c>
      <c r="B52" s="126">
        <f>IF('E-Mixed'!A52&lt;'Adj-Mixed'!$B$10,'E-Mixed'!A52," ")</f>
        <v>70</v>
      </c>
      <c r="C52" s="26">
        <f>IF('E-Mixed'!A52&lt;'Adj-Mixed'!$B$10,'E-Mixed'!C52," ")</f>
        <v>763.52949613037777</v>
      </c>
      <c r="D52" s="28">
        <f>IF('E-Mixed'!A52&lt;'Adj-Mixed'!$B$10,'E-Mixed'!G52," ")</f>
        <v>32.750041839268306</v>
      </c>
      <c r="E52" s="27">
        <f>IF('E-Mixed'!A52&lt;'Adj-Mixed'!$B$10,'E-Mixed'!D52," ")</f>
        <v>0.58442638626188548</v>
      </c>
      <c r="F52" s="92"/>
      <c r="G52" s="92">
        <f t="shared" si="0"/>
        <v>70</v>
      </c>
      <c r="H52" s="28">
        <f>IF('E-Mixed'!A52&lt;'Adj-Mixed'!$B$10,'E-Mixed'!I52," ")</f>
        <v>31.504890786830554</v>
      </c>
      <c r="I52" s="126">
        <f>IF('E-Mixed'!A52&lt;'Adj-Mixed'!$B$10,'E-Mixed'!A52," ")</f>
        <v>70</v>
      </c>
      <c r="J52" s="26">
        <f>IF('E-Mixed'!A52&lt;'Adj-Mixed'!$B$10,'E-Mixed'!J52," ")</f>
        <v>841.70301161493535</v>
      </c>
      <c r="K52" s="28">
        <f>IF('E-Mixed'!A52&lt;'Adj-Mixed'!$B$10,'E-Mixed'!N52," ")</f>
        <v>40.665400706054534</v>
      </c>
      <c r="L52" s="27">
        <f>IF('E-Mixed'!A52&lt;'Adj-Mixed'!$B$10,'E-Mixed'!K52," ")</f>
        <v>0.51885939001395864</v>
      </c>
      <c r="M52" s="31">
        <f>IF('E-Mixed'!A52&lt;'Adj-Mixed'!$B$10,'E-Mixed'!M52," ")</f>
        <v>1.6222179415357432</v>
      </c>
      <c r="N52">
        <f>IF('E-Mixed'!A52&lt;'Adj-Mixed'!$B$10,1/L52," ")</f>
        <v>1.9273044282249521</v>
      </c>
      <c r="O52" s="19"/>
      <c r="P52">
        <f t="shared" si="2"/>
        <v>1.8556375002845293</v>
      </c>
      <c r="Q52">
        <f t="shared" si="3"/>
        <v>3.5763783714786541</v>
      </c>
      <c r="R52" s="106">
        <f t="shared" si="1"/>
        <v>69.456394927521714</v>
      </c>
    </row>
    <row r="53" spans="1:18" x14ac:dyDescent="0.25">
      <c r="A53" s="28">
        <f>IF('E-Mixed'!A53&lt;'Adj-Mixed'!$B$10,'E-Mixed'!B53," ")</f>
        <v>29.84526266213102</v>
      </c>
      <c r="B53" s="126">
        <f>IF('E-Mixed'!A53&lt;'Adj-Mixed'!$B$10,'E-Mixed'!A53," ")</f>
        <v>71</v>
      </c>
      <c r="C53" s="26">
        <f>IF('E-Mixed'!A53&lt;'Adj-Mixed'!$B$10,'E-Mixed'!C53," ")</f>
        <v>771.87732601088396</v>
      </c>
      <c r="D53" s="28">
        <f>IF('E-Mixed'!A53&lt;'Adj-Mixed'!$B$10,'E-Mixed'!G53," ")</f>
        <v>34.085532504191818</v>
      </c>
      <c r="E53" s="27">
        <f>IF('E-Mixed'!A53&lt;'Adj-Mixed'!$B$10,'E-Mixed'!D53," ")</f>
        <v>0.57797283521640408</v>
      </c>
      <c r="F53" s="92"/>
      <c r="G53" s="92">
        <f t="shared" si="0"/>
        <v>71</v>
      </c>
      <c r="H53" s="28">
        <f>IF('E-Mixed'!A53&lt;'Adj-Mixed'!$B$10,'E-Mixed'!I53," ")</f>
        <v>32.355796315946755</v>
      </c>
      <c r="I53" s="126">
        <f>IF('E-Mixed'!A53&lt;'Adj-Mixed'!$B$10,'E-Mixed'!A53," ")</f>
        <v>71</v>
      </c>
      <c r="J53" s="26">
        <f>IF('E-Mixed'!A53&lt;'Adj-Mixed'!$B$10,'E-Mixed'!J53," ")</f>
        <v>850.90552911619955</v>
      </c>
      <c r="K53" s="28">
        <f>IF('E-Mixed'!A53&lt;'Adj-Mixed'!$B$10,'E-Mixed'!N53," ")</f>
        <v>42.323666160946033</v>
      </c>
      <c r="L53" s="27">
        <f>IF('E-Mixed'!A53&lt;'Adj-Mixed'!$B$10,'E-Mixed'!K53," ")</f>
        <v>0.51312986506848168</v>
      </c>
      <c r="M53" s="31">
        <f>IF('E-Mixed'!A53&lt;'Adj-Mixed'!$B$10,'E-Mixed'!M53," ")</f>
        <v>1.6582654548914995</v>
      </c>
      <c r="N53">
        <f>IF('E-Mixed'!A53&lt;'Adj-Mixed'!$B$10,1/L53," ")</f>
        <v>1.9488243972440411</v>
      </c>
      <c r="O53" s="19"/>
      <c r="P53">
        <f t="shared" si="2"/>
        <v>1.8759255785457756</v>
      </c>
      <c r="Q53">
        <f t="shared" si="3"/>
        <v>3.6558495348841502</v>
      </c>
      <c r="R53" s="106">
        <f t="shared" si="1"/>
        <v>71.332320506067504</v>
      </c>
    </row>
    <row r="54" spans="1:18" x14ac:dyDescent="0.25">
      <c r="A54" s="28">
        <f>IF('E-Mixed'!A54&lt;'Adj-Mixed'!$B$10,'E-Mixed'!B54," ")</f>
        <v>30.625339278092934</v>
      </c>
      <c r="B54" s="126">
        <f>IF('E-Mixed'!A54&lt;'Adj-Mixed'!$B$10,'E-Mixed'!A54," ")</f>
        <v>72</v>
      </c>
      <c r="C54" s="26">
        <f>IF('E-Mixed'!A54&lt;'Adj-Mixed'!$B$10,'E-Mixed'!C54," ")</f>
        <v>780.07661596191372</v>
      </c>
      <c r="D54" s="28">
        <f>IF('E-Mixed'!A54&lt;'Adj-Mixed'!$B$10,'E-Mixed'!G54," ")</f>
        <v>35.449987157157402</v>
      </c>
      <c r="E54" s="27">
        <f>IF('E-Mixed'!A54&lt;'Adj-Mixed'!$B$10,'E-Mixed'!D54," ")</f>
        <v>0.57171311209680109</v>
      </c>
      <c r="F54" s="92"/>
      <c r="G54" s="92">
        <f t="shared" si="0"/>
        <v>72</v>
      </c>
      <c r="H54" s="28">
        <f>IF('E-Mixed'!A54&lt;'Adj-Mixed'!$B$10,'E-Mixed'!I54," ")</f>
        <v>33.215740614461993</v>
      </c>
      <c r="I54" s="126">
        <f>IF('E-Mixed'!A54&lt;'Adj-Mixed'!$B$10,'E-Mixed'!A54," ")</f>
        <v>72</v>
      </c>
      <c r="J54" s="26">
        <f>IF('E-Mixed'!A54&lt;'Adj-Mixed'!$B$10,'E-Mixed'!J54," ")</f>
        <v>859.94429851523716</v>
      </c>
      <c r="K54" s="28">
        <f>IF('E-Mixed'!A54&lt;'Adj-Mixed'!$B$10,'E-Mixed'!N54," ")</f>
        <v>44.017895911259096</v>
      </c>
      <c r="L54" s="27">
        <f>IF('E-Mixed'!A54&lt;'Adj-Mixed'!$B$10,'E-Mixed'!K54," ")</f>
        <v>0.50757242242755674</v>
      </c>
      <c r="M54" s="31">
        <f>IF('E-Mixed'!A54&lt;'Adj-Mixed'!$B$10,'E-Mixed'!M54," ")</f>
        <v>1.6942297503130652</v>
      </c>
      <c r="N54">
        <f>IF('E-Mixed'!A54&lt;'Adj-Mixed'!$B$10,1/L54," ")</f>
        <v>1.9701621991543974</v>
      </c>
      <c r="O54" s="19"/>
      <c r="P54">
        <f t="shared" si="2"/>
        <v>1.8958526540365683</v>
      </c>
      <c r="Q54">
        <f t="shared" si="3"/>
        <v>3.7351372341493865</v>
      </c>
      <c r="R54" s="106">
        <f t="shared" si="1"/>
        <v>73.228173160104063</v>
      </c>
    </row>
    <row r="55" spans="1:18" x14ac:dyDescent="0.25">
      <c r="A55" s="28">
        <f>IF('E-Mixed'!A55&lt;'Adj-Mixed'!$B$10,'E-Mixed'!B55," ")</f>
        <v>31.413465419128517</v>
      </c>
      <c r="B55" s="126">
        <f>IF('E-Mixed'!A55&lt;'Adj-Mixed'!$B$10,'E-Mixed'!A55," ")</f>
        <v>73</v>
      </c>
      <c r="C55" s="26">
        <f>IF('E-Mixed'!A55&lt;'Adj-Mixed'!$B$10,'E-Mixed'!C55," ")</f>
        <v>788.12614103558326</v>
      </c>
      <c r="D55" s="28">
        <f>IF('E-Mixed'!A55&lt;'Adj-Mixed'!$B$10,'E-Mixed'!G55," ")</f>
        <v>36.843320352359683</v>
      </c>
      <c r="E55" s="27">
        <f>IF('E-Mixed'!A55&lt;'Adj-Mixed'!$B$10,'E-Mixed'!D55," ")</f>
        <v>0.56564082715417174</v>
      </c>
      <c r="F55" s="92"/>
      <c r="G55" s="92">
        <f t="shared" si="0"/>
        <v>73</v>
      </c>
      <c r="H55" s="28">
        <f>IF('E-Mixed'!A55&lt;'Adj-Mixed'!$B$10,'E-Mixed'!I55," ")</f>
        <v>34.084558583910592</v>
      </c>
      <c r="I55" s="126">
        <f>IF('E-Mixed'!A55&lt;'Adj-Mixed'!$B$10,'E-Mixed'!A55," ")</f>
        <v>73</v>
      </c>
      <c r="J55" s="26">
        <f>IF('E-Mixed'!A55&lt;'Adj-Mixed'!$B$10,'E-Mixed'!J55," ")</f>
        <v>868.81796944860037</v>
      </c>
      <c r="K55" s="28">
        <f>IF('E-Mixed'!A55&lt;'Adj-Mixed'!$B$10,'E-Mixed'!N55," ")</f>
        <v>45.747983859788384</v>
      </c>
      <c r="L55" s="27">
        <f>IF('E-Mixed'!A55&lt;'Adj-Mixed'!$B$10,'E-Mixed'!K55," ")</f>
        <v>0.50218138921039501</v>
      </c>
      <c r="M55" s="31">
        <f>IF('E-Mixed'!A55&lt;'Adj-Mixed'!$B$10,'E-Mixed'!M55," ")</f>
        <v>1.7300879485292882</v>
      </c>
      <c r="N55">
        <f>IF('E-Mixed'!A55&lt;'Adj-Mixed'!$B$10,1/L55," ")</f>
        <v>1.9913123454701303</v>
      </c>
      <c r="O55" s="19"/>
      <c r="P55">
        <f t="shared" si="2"/>
        <v>1.9154157497151028</v>
      </c>
      <c r="Q55">
        <f t="shared" si="3"/>
        <v>3.8141910291156091</v>
      </c>
      <c r="R55" s="106">
        <f t="shared" si="1"/>
        <v>75.143588909819158</v>
      </c>
    </row>
    <row r="56" spans="1:18" x14ac:dyDescent="0.25">
      <c r="A56" s="28">
        <f>IF('E-Mixed'!A56&lt;'Adj-Mixed'!$B$10,'E-Mixed'!B56," ")</f>
        <v>32.209490185613397</v>
      </c>
      <c r="B56" s="126">
        <f>IF('E-Mixed'!A56&lt;'Adj-Mixed'!$B$10,'E-Mixed'!A56," ")</f>
        <v>74</v>
      </c>
      <c r="C56" s="26">
        <f>IF('E-Mixed'!A56&lt;'Adj-Mixed'!$B$10,'E-Mixed'!C56," ")</f>
        <v>796.02476648488005</v>
      </c>
      <c r="D56" s="28">
        <f>IF('E-Mixed'!A56&lt;'Adj-Mixed'!$B$10,'E-Mixed'!G56," ")</f>
        <v>38.265428620882396</v>
      </c>
      <c r="E56" s="27">
        <f>IF('E-Mixed'!A56&lt;'Adj-Mixed'!$B$10,'E-Mixed'!D56," ")</f>
        <v>0.5597497631539623</v>
      </c>
      <c r="F56" s="92"/>
      <c r="G56" s="92">
        <f t="shared" si="0"/>
        <v>74</v>
      </c>
      <c r="H56" s="28">
        <f>IF('E-Mixed'!A56&lt;'Adj-Mixed'!$B$10,'E-Mixed'!I56," ")</f>
        <v>34.96208387489947</v>
      </c>
      <c r="I56" s="126">
        <f>IF('E-Mixed'!A56&lt;'Adj-Mixed'!$B$10,'E-Mixed'!A56," ")</f>
        <v>74</v>
      </c>
      <c r="J56" s="26">
        <f>IF('E-Mixed'!A56&lt;'Adj-Mixed'!$B$10,'E-Mixed'!J56," ")</f>
        <v>877.52529098887544</v>
      </c>
      <c r="K56" s="28">
        <f>IF('E-Mixed'!A56&lt;'Adj-Mixed'!$B$10,'E-Mixed'!N56," ")</f>
        <v>47.513801530211289</v>
      </c>
      <c r="L56" s="27">
        <f>IF('E-Mixed'!A56&lt;'Adj-Mixed'!$B$10,'E-Mixed'!K56," ")</f>
        <v>0.49695124569611476</v>
      </c>
      <c r="M56" s="31">
        <f>IF('E-Mixed'!A56&lt;'Adj-Mixed'!$B$10,'E-Mixed'!M56," ")</f>
        <v>1.7658176704229078</v>
      </c>
      <c r="N56">
        <f>IF('E-Mixed'!A56&lt;'Adj-Mixed'!$B$10,1/L56," ")</f>
        <v>2.0122698326255914</v>
      </c>
      <c r="O56" s="19"/>
      <c r="P56">
        <f t="shared" si="2"/>
        <v>1.9346121077585043</v>
      </c>
      <c r="Q56">
        <f t="shared" si="3"/>
        <v>3.8929615822746486</v>
      </c>
      <c r="R56" s="106">
        <f t="shared" si="1"/>
        <v>77.078201017577669</v>
      </c>
    </row>
    <row r="57" spans="1:18" x14ac:dyDescent="0.25">
      <c r="A57" s="28">
        <f>IF('E-Mixed'!A57&lt;'Adj-Mixed'!$B$10,'E-Mixed'!B57," ")</f>
        <v>33.013261632656906</v>
      </c>
      <c r="B57" s="126">
        <f>IF('E-Mixed'!A57&lt;'Adj-Mixed'!$B$10,'E-Mixed'!A57," ")</f>
        <v>75</v>
      </c>
      <c r="C57" s="26">
        <f>IF('E-Mixed'!A57&lt;'Adj-Mixed'!$B$10,'E-Mixed'!C57," ")</f>
        <v>803.77144704350917</v>
      </c>
      <c r="D57" s="28">
        <f>IF('E-Mixed'!A57&lt;'Adj-Mixed'!$B$10,'E-Mixed'!G57," ")</f>
        <v>39.716190904785826</v>
      </c>
      <c r="E57" s="27">
        <f>IF('E-Mixed'!A57&lt;'Adj-Mixed'!$B$10,'E-Mixed'!D57," ")</f>
        <v>0.55403387306215124</v>
      </c>
      <c r="F57" s="92"/>
      <c r="G57" s="92">
        <f t="shared" si="0"/>
        <v>75</v>
      </c>
      <c r="H57" s="28">
        <f>IF('E-Mixed'!A57&lt;'Adj-Mixed'!$B$10,'E-Mixed'!I57," ")</f>
        <v>35.848148985750264</v>
      </c>
      <c r="I57" s="126">
        <f>IF('E-Mixed'!A57&lt;'Adj-Mixed'!$B$10,'E-Mixed'!A57," ")</f>
        <v>75</v>
      </c>
      <c r="J57" s="26">
        <f>IF('E-Mixed'!A57&lt;'Adj-Mixed'!$B$10,'E-Mixed'!J57," ")</f>
        <v>886.06511085079683</v>
      </c>
      <c r="K57" s="28">
        <f>IF('E-Mixed'!A57&lt;'Adj-Mixed'!$B$10,'E-Mixed'!N57," ")</f>
        <v>49.315198606090014</v>
      </c>
      <c r="L57" s="27">
        <f>IF('E-Mixed'!A57&lt;'Adj-Mixed'!$B$10,'E-Mixed'!K57," ")</f>
        <v>0.49187662326951037</v>
      </c>
      <c r="M57" s="31">
        <f>IF('E-Mixed'!A57&lt;'Adj-Mixed'!$B$10,'E-Mixed'!M57," ")</f>
        <v>1.8013970758787243</v>
      </c>
      <c r="N57">
        <f>IF('E-Mixed'!A57&lt;'Adj-Mixed'!$B$10,1/L57," ")</f>
        <v>2.033030139454457</v>
      </c>
      <c r="O57" s="19"/>
      <c r="P57">
        <f t="shared" si="2"/>
        <v>1.9534391878126098</v>
      </c>
      <c r="Q57">
        <f t="shared" si="3"/>
        <v>3.971400744414471</v>
      </c>
      <c r="R57" s="106">
        <f t="shared" si="1"/>
        <v>79.031640205390275</v>
      </c>
    </row>
    <row r="58" spans="1:18" x14ac:dyDescent="0.25">
      <c r="A58" s="28">
        <f>IF('E-Mixed'!A58&lt;'Adj-Mixed'!$B$10,'E-Mixed'!B58," ")</f>
        <v>33.824626858804301</v>
      </c>
      <c r="B58" s="126">
        <f>IF('E-Mixed'!A58&lt;'Adj-Mixed'!$B$10,'E-Mixed'!A58," ")</f>
        <v>76</v>
      </c>
      <c r="C58" s="26">
        <f>IF('E-Mixed'!A58&lt;'Adj-Mixed'!$B$10,'E-Mixed'!C58," ")</f>
        <v>811.36522614739442</v>
      </c>
      <c r="D58" s="28">
        <f>IF('E-Mixed'!A58&lt;'Adj-Mixed'!$B$10,'E-Mixed'!G58," ")</f>
        <v>41.195469020631982</v>
      </c>
      <c r="E58" s="27">
        <f>IF('E-Mixed'!A58&lt;'Adj-Mixed'!$B$10,'E-Mixed'!D58," ")</f>
        <v>0.54848727731180569</v>
      </c>
      <c r="F58" s="92"/>
      <c r="G58" s="92">
        <f t="shared" si="0"/>
        <v>76</v>
      </c>
      <c r="H58" s="28">
        <f>IF('E-Mixed'!A58&lt;'Adj-Mixed'!$B$10,'E-Mixed'!I58," ")</f>
        <v>36.742585360283307</v>
      </c>
      <c r="I58" s="126">
        <f>IF('E-Mixed'!A58&lt;'Adj-Mixed'!$B$10,'E-Mixed'!A58," ")</f>
        <v>76</v>
      </c>
      <c r="J58" s="26">
        <f>IF('E-Mixed'!A58&lt;'Adj-Mixed'!$B$10,'E-Mixed'!J58," ")</f>
        <v>894.43637453304143</v>
      </c>
      <c r="K58" s="28">
        <f>IF('E-Mixed'!A58&lt;'Adj-Mixed'!$B$10,'E-Mixed'!N58," ")</f>
        <v>51.152003506426141</v>
      </c>
      <c r="L58" s="27">
        <f>IF('E-Mixed'!A58&lt;'Adj-Mixed'!$B$10,'E-Mixed'!K58," ")</f>
        <v>0.48695230199427508</v>
      </c>
      <c r="M58" s="31">
        <f>IF('E-Mixed'!A58&lt;'Adj-Mixed'!$B$10,'E-Mixed'!M58," ")</f>
        <v>1.8368049003361258</v>
      </c>
      <c r="N58">
        <f>IF('E-Mixed'!A58&lt;'Adj-Mixed'!$B$10,1/L58," ")</f>
        <v>2.0535892240463349</v>
      </c>
      <c r="O58" s="19"/>
      <c r="P58">
        <f t="shared" si="2"/>
        <v>1.9718946650999474</v>
      </c>
      <c r="Q58">
        <f t="shared" si="3"/>
        <v>4.0494616352037092</v>
      </c>
      <c r="R58" s="106">
        <f t="shared" si="1"/>
        <v>81.003534870490228</v>
      </c>
    </row>
    <row r="59" spans="1:18" x14ac:dyDescent="0.25">
      <c r="A59" s="28">
        <f>IF('E-Mixed'!A59&lt;'Adj-Mixed'!$B$10,'E-Mixed'!B59," ")</f>
        <v>34.64343209390357</v>
      </c>
      <c r="B59" s="126">
        <f>IF('E-Mixed'!A59&lt;'Adj-Mixed'!$B$10,'E-Mixed'!A59," ")</f>
        <v>77</v>
      </c>
      <c r="C59" s="26">
        <f>IF('E-Mixed'!A59&lt;'Adj-Mixed'!$B$10,'E-Mixed'!C59," ")</f>
        <v>818.80523509926911</v>
      </c>
      <c r="D59" s="28">
        <f>IF('E-Mixed'!A59&lt;'Adj-Mixed'!$B$10,'E-Mixed'!G59," ")</f>
        <v>42.703108150510367</v>
      </c>
      <c r="E59" s="27">
        <f>IF('E-Mixed'!A59&lt;'Adj-Mixed'!$B$10,'E-Mixed'!D59," ")</f>
        <v>0.54310426074263352</v>
      </c>
      <c r="F59" s="92"/>
      <c r="G59" s="92">
        <f t="shared" si="0"/>
        <v>77</v>
      </c>
      <c r="H59" s="28">
        <f>IF('E-Mixed'!A59&lt;'Adj-Mixed'!$B$10,'E-Mixed'!I59," ")</f>
        <v>37.645223484680592</v>
      </c>
      <c r="I59" s="126">
        <f>IF('E-Mixed'!A59&lt;'Adj-Mixed'!$B$10,'E-Mixed'!A59," ")</f>
        <v>77</v>
      </c>
      <c r="J59" s="26">
        <f>IF('E-Mixed'!A59&lt;'Adj-Mixed'!$B$10,'E-Mixed'!J59," ")</f>
        <v>902.63812439728736</v>
      </c>
      <c r="K59" s="28">
        <f>IF('E-Mixed'!A59&lt;'Adj-Mixed'!$B$10,'E-Mixed'!N59," ")</f>
        <v>53.024023995362462</v>
      </c>
      <c r="L59" s="27">
        <f>IF('E-Mixed'!A59&lt;'Adj-Mixed'!$B$10,'E-Mixed'!K59," ")</f>
        <v>0.48217320789590534</v>
      </c>
      <c r="M59" s="31">
        <f>IF('E-Mixed'!A59&lt;'Adj-Mixed'!$B$10,'E-Mixed'!M59," ")</f>
        <v>1.8720204889363217</v>
      </c>
      <c r="N59">
        <f>IF('E-Mixed'!A59&lt;'Adj-Mixed'!$B$10,1/L59," ")</f>
        <v>2.0739435199308844</v>
      </c>
      <c r="O59" s="19"/>
      <c r="P59">
        <f t="shared" si="2"/>
        <v>1.989976428389409</v>
      </c>
      <c r="Q59">
        <f t="shared" si="3"/>
        <v>4.1270987184734205</v>
      </c>
      <c r="R59" s="106">
        <f t="shared" si="1"/>
        <v>82.993511298879639</v>
      </c>
    </row>
    <row r="60" spans="1:18" x14ac:dyDescent="0.25">
      <c r="A60" s="28">
        <f>IF('E-Mixed'!A60&lt;'Adj-Mixed'!$B$10,'E-Mixed'!B60," ")</f>
        <v>35.469522786080304</v>
      </c>
      <c r="B60" s="126">
        <f>IF('E-Mixed'!A60&lt;'Adj-Mixed'!$B$10,'E-Mixed'!A60," ")</f>
        <v>78</v>
      </c>
      <c r="C60" s="26">
        <f>IF('E-Mixed'!A60&lt;'Adj-Mixed'!$B$10,'E-Mixed'!C60," ")</f>
        <v>826.09069217673436</v>
      </c>
      <c r="D60" s="28">
        <f>IF('E-Mixed'!A60&lt;'Adj-Mixed'!$B$10,'E-Mixed'!G60," ")</f>
        <v>44.238937358551034</v>
      </c>
      <c r="E60" s="27">
        <f>IF('E-Mixed'!A60&lt;'Adj-Mixed'!$B$10,'E-Mixed'!D60," ")</f>
        <v>0.53787926929102925</v>
      </c>
      <c r="F60" s="92"/>
      <c r="G60" s="92">
        <f t="shared" si="0"/>
        <v>78</v>
      </c>
      <c r="H60" s="28">
        <f>IF('E-Mixed'!A60&lt;'Adj-Mixed'!$B$10,'E-Mixed'!I60," ")</f>
        <v>38.555892983365545</v>
      </c>
      <c r="I60" s="126">
        <f>IF('E-Mixed'!A60&lt;'Adj-Mixed'!$B$10,'E-Mixed'!A60," ")</f>
        <v>78</v>
      </c>
      <c r="J60" s="26">
        <f>IF('E-Mixed'!A60&lt;'Adj-Mixed'!$B$10,'E-Mixed'!J60," ")</f>
        <v>910.66949868495033</v>
      </c>
      <c r="K60" s="28">
        <f>IF('E-Mixed'!A60&lt;'Adj-Mixed'!$B$10,'E-Mixed'!N60," ")</f>
        <v>54.931047823532069</v>
      </c>
      <c r="L60" s="27">
        <f>IF('E-Mixed'!A60&lt;'Adj-Mixed'!$B$10,'E-Mixed'!K60," ")</f>
        <v>0.47753441002309216</v>
      </c>
      <c r="M60" s="31">
        <f>IF('E-Mixed'!A60&lt;'Adj-Mixed'!$B$10,'E-Mixed'!M60," ")</f>
        <v>1.9070238281696035</v>
      </c>
      <c r="N60">
        <f>IF('E-Mixed'!A60&lt;'Adj-Mixed'!$B$10,1/L60," ")</f>
        <v>2.0940899315541324</v>
      </c>
      <c r="O60" s="19"/>
      <c r="P60">
        <f t="shared" si="2"/>
        <v>2.0076825778285254</v>
      </c>
      <c r="Q60">
        <f t="shared" si="3"/>
        <v>4.2042678719873603</v>
      </c>
      <c r="R60" s="106">
        <f t="shared" si="1"/>
        <v>85.001193876708172</v>
      </c>
    </row>
    <row r="61" spans="1:18" x14ac:dyDescent="0.25">
      <c r="A61" s="28">
        <f>IF('E-Mixed'!A61&lt;'Adj-Mixed'!$B$10,'E-Mixed'!B61," ")</f>
        <v>36.30274368776584</v>
      </c>
      <c r="B61" s="126">
        <f>IF('E-Mixed'!A61&lt;'Adj-Mixed'!$B$10,'E-Mixed'!A61," ")</f>
        <v>79</v>
      </c>
      <c r="C61" s="26">
        <f>IF('E-Mixed'!A61&lt;'Adj-Mixed'!$B$10,'E-Mixed'!C61," ")</f>
        <v>833.22090168553586</v>
      </c>
      <c r="D61" s="28">
        <f>IF('E-Mixed'!A61&lt;'Adj-Mixed'!$B$10,'E-Mixed'!G61," ")</f>
        <v>45.802770130847932</v>
      </c>
      <c r="E61" s="27">
        <f>IF('E-Mixed'!A61&lt;'Adj-Mixed'!$B$10,'E-Mixed'!D61," ")</f>
        <v>0.53280690649661633</v>
      </c>
      <c r="F61" s="92"/>
      <c r="G61" s="92">
        <f t="shared" si="0"/>
        <v>79</v>
      </c>
      <c r="H61" s="28">
        <f>IF('E-Mixed'!A61&lt;'Adj-Mixed'!$B$10,'E-Mixed'!I61," ")</f>
        <v>39.474422713839076</v>
      </c>
      <c r="I61" s="126">
        <f>IF('E-Mixed'!A61&lt;'Adj-Mixed'!$B$10,'E-Mixed'!A61," ")</f>
        <v>79</v>
      </c>
      <c r="J61" s="26">
        <f>IF('E-Mixed'!A61&lt;'Adj-Mixed'!$B$10,'E-Mixed'!J61," ")</f>
        <v>918.52973047353191</v>
      </c>
      <c r="K61" s="28">
        <f>IF('E-Mixed'!A61&lt;'Adj-Mixed'!$B$10,'E-Mixed'!N61," ")</f>
        <v>56.872843398475801</v>
      </c>
      <c r="L61" s="27">
        <f>IF('E-Mixed'!A61&lt;'Adj-Mixed'!$B$10,'E-Mixed'!K61," ")</f>
        <v>0.47303111734619507</v>
      </c>
      <c r="M61" s="31">
        <f>IF('E-Mixed'!A61&lt;'Adj-Mixed'!$B$10,'E-Mixed'!M61," ")</f>
        <v>1.9417955749437343</v>
      </c>
      <c r="N61">
        <f>IF('E-Mixed'!A61&lt;'Adj-Mixed'!$B$10,1/L61," ")</f>
        <v>2.1140258290199005</v>
      </c>
      <c r="O61" s="19"/>
      <c r="P61">
        <f t="shared" si="2"/>
        <v>2.0250114226426073</v>
      </c>
      <c r="Q61">
        <f t="shared" si="3"/>
        <v>4.2809264515268062</v>
      </c>
      <c r="R61" s="106">
        <f t="shared" si="1"/>
        <v>87.026205299350764</v>
      </c>
    </row>
    <row r="62" spans="1:18" x14ac:dyDescent="0.25">
      <c r="A62" s="28">
        <f>IF('E-Mixed'!A62&lt;'Adj-Mixed'!$B$10,'E-Mixed'!B62," ")</f>
        <v>37.142938940724704</v>
      </c>
      <c r="B62" s="126">
        <f>IF('E-Mixed'!A62&lt;'Adj-Mixed'!$B$10,'E-Mixed'!A62," ")</f>
        <v>80</v>
      </c>
      <c r="C62" s="26">
        <f>IF('E-Mixed'!A62&lt;'Adj-Mixed'!$B$10,'E-Mixed'!C62," ")</f>
        <v>840.1952529588641</v>
      </c>
      <c r="D62" s="28">
        <f>IF('E-Mixed'!A62&lt;'Adj-Mixed'!$B$10,'E-Mixed'!G62," ")</f>
        <v>47.394404936664465</v>
      </c>
      <c r="E62" s="27">
        <f>IF('E-Mixed'!A62&lt;'Adj-Mixed'!$B$10,'E-Mixed'!D62," ")</f>
        <v>0.52788192988016081</v>
      </c>
      <c r="F62" s="92"/>
      <c r="G62" s="92">
        <f t="shared" si="0"/>
        <v>80</v>
      </c>
      <c r="H62" s="28">
        <f>IF('E-Mixed'!A62&lt;'Adj-Mixed'!$B$10,'E-Mixed'!I62," ")</f>
        <v>40.400640860412537</v>
      </c>
      <c r="I62" s="126">
        <f>IF('E-Mixed'!A62&lt;'Adj-Mixed'!$B$10,'E-Mixed'!A62," ")</f>
        <v>80</v>
      </c>
      <c r="J62" s="26">
        <f>IF('E-Mixed'!A62&lt;'Adj-Mixed'!$B$10,'E-Mixed'!J62," ")</f>
        <v>926.21814657346272</v>
      </c>
      <c r="K62" s="28">
        <f>IF('E-Mixed'!A62&lt;'Adj-Mixed'!$B$10,'E-Mixed'!N62," ")</f>
        <v>58.849160481485626</v>
      </c>
      <c r="L62" s="27">
        <f>IF('E-Mixed'!A62&lt;'Adj-Mixed'!$B$10,'E-Mixed'!K62," ")</f>
        <v>0.46865867554151919</v>
      </c>
      <c r="M62" s="31">
        <f>IF('E-Mixed'!A62&lt;'Adj-Mixed'!$B$10,'E-Mixed'!M62," ")</f>
        <v>1.9763170830098238</v>
      </c>
      <c r="N62">
        <f>IF('E-Mixed'!A62&lt;'Adj-Mixed'!$B$10,1/L62," ")</f>
        <v>2.1337490420817109</v>
      </c>
      <c r="O62" s="19"/>
      <c r="P62">
        <f t="shared" si="2"/>
        <v>2.0419614787027012</v>
      </c>
      <c r="Q62">
        <f t="shared" si="3"/>
        <v>4.357033349149642</v>
      </c>
      <c r="R62" s="106">
        <f t="shared" si="1"/>
        <v>89.068166778053453</v>
      </c>
    </row>
    <row r="63" spans="1:18" x14ac:dyDescent="0.25">
      <c r="A63" s="28">
        <f>IF('E-Mixed'!A63&lt;'Adj-Mixed'!$B$10,'E-Mixed'!B63," ")</f>
        <v>37.989952160029148</v>
      </c>
      <c r="B63" s="126">
        <f>IF('E-Mixed'!A63&lt;'Adj-Mixed'!$B$10,'E-Mixed'!A63," ")</f>
        <v>81</v>
      </c>
      <c r="C63" s="26">
        <f>IF('E-Mixed'!A63&lt;'Adj-Mixed'!$B$10,'E-Mixed'!C63," ")</f>
        <v>847.01321930444351</v>
      </c>
      <c r="D63" s="28">
        <f>IF('E-Mixed'!A63&lt;'Adj-Mixed'!$B$10,'E-Mixed'!G63," ")</f>
        <v>49.013625808754774</v>
      </c>
      <c r="E63" s="27">
        <f>IF('E-Mixed'!A63&lt;'Adj-Mixed'!$B$10,'E-Mixed'!D63," ")</f>
        <v>0.52309924723919776</v>
      </c>
      <c r="F63" s="92"/>
      <c r="G63" s="92">
        <f t="shared" si="0"/>
        <v>81</v>
      </c>
      <c r="H63" s="28">
        <f>IF('E-Mixed'!A63&lt;'Adj-Mixed'!$B$10,'E-Mixed'!I63," ")</f>
        <v>41.334375026779924</v>
      </c>
      <c r="I63" s="126">
        <f>IF('E-Mixed'!A63&lt;'Adj-Mixed'!$B$10,'E-Mixed'!A63," ")</f>
        <v>81</v>
      </c>
      <c r="J63" s="26">
        <f>IF('E-Mixed'!A63&lt;'Adj-Mixed'!$B$10,'E-Mixed'!J63," ")</f>
        <v>933.73416636739034</v>
      </c>
      <c r="K63" s="28">
        <f>IF('E-Mixed'!A63&lt;'Adj-Mixed'!$B$10,'E-Mixed'!N63," ")</f>
        <v>60.859730908183778</v>
      </c>
      <c r="L63" s="27">
        <f>IF('E-Mixed'!A63&lt;'Adj-Mixed'!$B$10,'E-Mixed'!K63," ")</f>
        <v>0.46441256370253653</v>
      </c>
      <c r="M63" s="31">
        <f>IF('E-Mixed'!A63&lt;'Adj-Mixed'!$B$10,'E-Mixed'!M63," ")</f>
        <v>2.0105704266981492</v>
      </c>
      <c r="N63">
        <f>IF('E-Mixed'!A63&lt;'Adj-Mixed'!$B$10,1/L63," ")</f>
        <v>2.153257853378221</v>
      </c>
      <c r="O63" s="19"/>
      <c r="P63">
        <f t="shared" si="2"/>
        <v>2.0585314659666571</v>
      </c>
      <c r="Q63">
        <f t="shared" si="3"/>
        <v>4.4325490455188854</v>
      </c>
      <c r="R63" s="106">
        <f t="shared" si="1"/>
        <v>91.126698244020119</v>
      </c>
    </row>
    <row r="64" spans="1:18" x14ac:dyDescent="0.25">
      <c r="A64" s="28">
        <f>IF('E-Mixed'!A64&lt;'Adj-Mixed'!$B$10,'E-Mixed'!B64," ")</f>
        <v>38.843626516929959</v>
      </c>
      <c r="B64" s="126">
        <f>IF('E-Mixed'!A64&lt;'Adj-Mixed'!$B$10,'E-Mixed'!A64," ")</f>
        <v>82</v>
      </c>
      <c r="C64" s="26">
        <f>IF('E-Mixed'!A64&lt;'Adj-Mixed'!$B$10,'E-Mixed'!C64," ")</f>
        <v>853.67435690081095</v>
      </c>
      <c r="D64" s="28">
        <f>IF('E-Mixed'!A64&lt;'Adj-Mixed'!$B$10,'E-Mixed'!G64," ")</f>
        <v>50.660202940608166</v>
      </c>
      <c r="E64" s="27">
        <f>IF('E-Mixed'!A64&lt;'Adj-Mixed'!$B$10,'E-Mixed'!D64," ")</f>
        <v>0.51845391289985943</v>
      </c>
      <c r="F64" s="92"/>
      <c r="G64" s="92">
        <f t="shared" si="0"/>
        <v>82</v>
      </c>
      <c r="H64" s="28">
        <f>IF('E-Mixed'!A64&lt;'Adj-Mixed'!$B$10,'E-Mixed'!I64," ")</f>
        <v>42.27545232737338</v>
      </c>
      <c r="I64" s="126">
        <f>IF('E-Mixed'!A64&lt;'Adj-Mixed'!$B$10,'E-Mixed'!A64," ")</f>
        <v>82</v>
      </c>
      <c r="J64" s="26">
        <f>IF('E-Mixed'!A64&lt;'Adj-Mixed'!$B$10,'E-Mixed'!J64," ")</f>
        <v>941.07730059345374</v>
      </c>
      <c r="K64" s="28">
        <f>IF('E-Mixed'!A64&lt;'Adj-Mixed'!$B$10,'E-Mixed'!N64," ")</f>
        <v>62.904269330115135</v>
      </c>
      <c r="L64" s="27">
        <f>IF('E-Mixed'!A64&lt;'Adj-Mixed'!$B$10,'E-Mixed'!K64," ")</f>
        <v>0.46028839101222285</v>
      </c>
      <c r="M64" s="31">
        <f>IF('E-Mixed'!A64&lt;'Adj-Mixed'!$B$10,'E-Mixed'!M64," ")</f>
        <v>2.0445384219313576</v>
      </c>
      <c r="N64">
        <f>IF('E-Mixed'!A64&lt;'Adj-Mixed'!$B$10,1/L64," ")</f>
        <v>2.172550990914401</v>
      </c>
      <c r="O64" s="19"/>
      <c r="P64">
        <f t="shared" si="2"/>
        <v>2.0747203057967085</v>
      </c>
      <c r="Q64">
        <f t="shared" si="3"/>
        <v>4.5074356562288678</v>
      </c>
      <c r="R64" s="106">
        <f t="shared" si="1"/>
        <v>93.201418549816822</v>
      </c>
    </row>
    <row r="65" spans="1:18" x14ac:dyDescent="0.25">
      <c r="A65" s="28">
        <f>IF('E-Mixed'!A65&lt;'Adj-Mixed'!$B$10,'E-Mixed'!B65," ")</f>
        <v>39.70380482057454</v>
      </c>
      <c r="B65" s="126">
        <f>IF('E-Mixed'!A65&lt;'Adj-Mixed'!$B$10,'E-Mixed'!A65," ")</f>
        <v>83</v>
      </c>
      <c r="C65" s="26">
        <f>IF('E-Mixed'!A65&lt;'Adj-Mixed'!$B$10,'E-Mixed'!C65," ")</f>
        <v>860.17830364458086</v>
      </c>
      <c r="D65" s="28">
        <f>IF('E-Mixed'!A65&lt;'Adj-Mixed'!$B$10,'E-Mixed'!G65," ")</f>
        <v>52.333893298410516</v>
      </c>
      <c r="E65" s="27">
        <f>IF('E-Mixed'!A65&lt;'Adj-Mixed'!$B$10,'E-Mixed'!D65," ")</f>
        <v>0.51394112395678737</v>
      </c>
      <c r="F65" s="92"/>
      <c r="G65" s="92">
        <f t="shared" si="0"/>
        <v>83</v>
      </c>
      <c r="H65" s="28">
        <f>IF('E-Mixed'!A65&lt;'Adj-Mixed'!$B$10,'E-Mixed'!I65," ")</f>
        <v>43.223699477447909</v>
      </c>
      <c r="I65" s="126">
        <f>IF('E-Mixed'!A65&lt;'Adj-Mixed'!$B$10,'E-Mixed'!A65," ")</f>
        <v>83</v>
      </c>
      <c r="J65" s="26">
        <f>IF('E-Mixed'!A65&lt;'Adj-Mixed'!$B$10,'E-Mixed'!J65," ")</f>
        <v>948.24715007452664</v>
      </c>
      <c r="K65" s="28">
        <f>IF('E-Mixed'!A65&lt;'Adj-Mixed'!$B$10,'E-Mixed'!N65," ")</f>
        <v>64.982473974613782</v>
      </c>
      <c r="L65" s="27">
        <f>IF('E-Mixed'!A65&lt;'Adj-Mixed'!$B$10,'E-Mixed'!K65," ")</f>
        <v>0.45628189340481529</v>
      </c>
      <c r="M65" s="31">
        <f>IF('E-Mixed'!A65&lt;'Adj-Mixed'!$B$10,'E-Mixed'!M65," ")</f>
        <v>2.0782046444986535</v>
      </c>
      <c r="N65">
        <f>IF('E-Mixed'!A65&lt;'Adj-Mixed'!$B$10,1/L65," ")</f>
        <v>2.1916276197986133</v>
      </c>
      <c r="O65" s="19"/>
      <c r="P65">
        <f t="shared" si="2"/>
        <v>2.0905271181579326</v>
      </c>
      <c r="Q65">
        <f t="shared" si="3"/>
        <v>4.5816569720929241</v>
      </c>
      <c r="R65" s="106">
        <f t="shared" si="1"/>
        <v>95.291945667974758</v>
      </c>
    </row>
    <row r="66" spans="1:18" x14ac:dyDescent="0.25">
      <c r="A66" s="28">
        <f>IF('E-Mixed'!A66&lt;'Adj-Mixed'!$B$10,'E-Mixed'!B66," ")</f>
        <v>40.570329598524694</v>
      </c>
      <c r="B66" s="126">
        <f>IF('E-Mixed'!A66&lt;'Adj-Mixed'!$B$10,'E-Mixed'!A66," ")</f>
        <v>84</v>
      </c>
      <c r="C66" s="26">
        <f>IF('E-Mixed'!A66&lt;'Adj-Mixed'!$B$10,'E-Mixed'!C66," ")</f>
        <v>866.5247779501542</v>
      </c>
      <c r="D66" s="28">
        <f>IF('E-Mixed'!A66&lt;'Adj-Mixed'!$B$10,'E-Mixed'!G66," ")</f>
        <v>54.032754700212742</v>
      </c>
      <c r="E66" s="27">
        <f>IF('E-Mixed'!A66&lt;'Adj-Mixed'!$B$10,'E-Mixed'!D66," ")</f>
        <v>0.50955621652752947</v>
      </c>
      <c r="F66" s="92"/>
      <c r="G66" s="92">
        <f t="shared" si="0"/>
        <v>84</v>
      </c>
      <c r="H66" s="28">
        <f>IF('E-Mixed'!A66&lt;'Adj-Mixed'!$B$10,'E-Mixed'!I66," ")</f>
        <v>44.178942881842943</v>
      </c>
      <c r="I66" s="126">
        <f>IF('E-Mixed'!A66&lt;'Adj-Mixed'!$B$10,'E-Mixed'!A66," ")</f>
        <v>84</v>
      </c>
      <c r="J66" s="26">
        <f>IF('E-Mixed'!A66&lt;'Adj-Mixed'!$B$10,'E-Mixed'!J66," ")</f>
        <v>955.24340439503521</v>
      </c>
      <c r="K66" s="28">
        <f>IF('E-Mixed'!A66&lt;'Adj-Mixed'!$B$10,'E-Mixed'!N66," ")</f>
        <v>67.094027420201755</v>
      </c>
      <c r="L66" s="27">
        <f>IF('E-Mixed'!A66&lt;'Adj-Mixed'!$B$10,'E-Mixed'!K66," ")</f>
        <v>0.45238893024042981</v>
      </c>
      <c r="M66" s="31">
        <f>IF('E-Mixed'!A66&lt;'Adj-Mixed'!$B$10,'E-Mixed'!M66," ")</f>
        <v>2.1115534455879694</v>
      </c>
      <c r="N66">
        <f>IF('E-Mixed'!A66&lt;'Adj-Mixed'!$B$10,1/L66," ")</f>
        <v>2.210487333252237</v>
      </c>
      <c r="O66" s="19"/>
      <c r="P66">
        <f t="shared" si="2"/>
        <v>2.1059512187011329</v>
      </c>
      <c r="Q66">
        <f t="shared" si="3"/>
        <v>4.6551784933859652</v>
      </c>
      <c r="R66" s="106">
        <f t="shared" si="1"/>
        <v>97.397896886675895</v>
      </c>
    </row>
    <row r="67" spans="1:18" x14ac:dyDescent="0.25">
      <c r="A67" s="28">
        <f>IF('E-Mixed'!A67&lt;'Adj-Mixed'!$B$10,'E-Mixed'!B67," ")</f>
        <v>41.443043176028894</v>
      </c>
      <c r="B67" s="126">
        <f>IF('E-Mixed'!A67&lt;'Adj-Mixed'!$B$10,'E-Mixed'!A67," ")</f>
        <v>85</v>
      </c>
      <c r="C67" s="26">
        <f>IF('E-Mixed'!A67&lt;'Adj-Mixed'!$B$10,'E-Mixed'!C67," ")</f>
        <v>872.71357750420009</v>
      </c>
      <c r="D67" s="28">
        <f>IF('E-Mixed'!A67&lt;'Adj-Mixed'!$B$10,'E-Mixed'!G67," ")</f>
        <v>55.759945425548388</v>
      </c>
      <c r="E67" s="27">
        <f>IF('E-Mixed'!A67&lt;'Adj-Mixed'!$B$10,'E-Mixed'!D67," ")</f>
        <v>0.50529466204293638</v>
      </c>
      <c r="F67" s="92"/>
      <c r="G67" s="92">
        <f t="shared" si="0"/>
        <v>85</v>
      </c>
      <c r="H67" s="28">
        <f>IF('E-Mixed'!A67&lt;'Adj-Mixed'!$B$10,'E-Mixed'!I67," ")</f>
        <v>45.141008722370863</v>
      </c>
      <c r="I67" s="126">
        <f>IF('E-Mixed'!A67&lt;'Adj-Mixed'!$B$10,'E-Mixed'!A67," ")</f>
        <v>85</v>
      </c>
      <c r="J67" s="26">
        <f>IF('E-Mixed'!A67&lt;'Adj-Mixed'!$B$10,'E-Mixed'!J67," ")</f>
        <v>962.06584052791789</v>
      </c>
      <c r="K67" s="28">
        <f>IF('E-Mixed'!A67&lt;'Adj-Mixed'!$B$10,'E-Mixed'!N67," ")</f>
        <v>69.238597384791547</v>
      </c>
      <c r="L67" s="27">
        <f>IF('E-Mixed'!A67&lt;'Adj-Mixed'!$B$10,'E-Mixed'!K67," ")</f>
        <v>0.44860548101163955</v>
      </c>
      <c r="M67" s="31">
        <f>IF('E-Mixed'!A67&lt;'Adj-Mixed'!$B$10,'E-Mixed'!M67," ")</f>
        <v>2.1445699645897909</v>
      </c>
      <c r="N67">
        <f>IF('E-Mixed'!A67&lt;'Adj-Mixed'!$B$10,1/L67," ")</f>
        <v>2.2291301429151598</v>
      </c>
      <c r="O67" s="19"/>
      <c r="P67">
        <f t="shared" si="2"/>
        <v>2.1209921157358043</v>
      </c>
      <c r="Q67">
        <f t="shared" si="3"/>
        <v>4.7279674580720803</v>
      </c>
      <c r="R67" s="106">
        <f t="shared" si="1"/>
        <v>99.518889002411711</v>
      </c>
    </row>
    <row r="68" spans="1:18" x14ac:dyDescent="0.25">
      <c r="A68" s="28">
        <f>IF('E-Mixed'!A68&lt;'Adj-Mixed'!$B$10,'E-Mixed'!B68," ")</f>
        <v>42.321787754005229</v>
      </c>
      <c r="B68" s="126">
        <f>IF('E-Mixed'!A68&lt;'Adj-Mixed'!$B$10,'E-Mixed'!A68," ")</f>
        <v>86</v>
      </c>
      <c r="C68" s="26">
        <f>IF('E-Mixed'!A68&lt;'Adj-Mixed'!$B$10,'E-Mixed'!C68," ")</f>
        <v>878.74457797633454</v>
      </c>
      <c r="D68" s="28">
        <f>IF('E-Mixed'!A68&lt;'Adj-Mixed'!$B$10,'E-Mixed'!G68," ")</f>
        <v>57.513634640803346</v>
      </c>
      <c r="E68" s="27">
        <f>IF('E-Mixed'!A68&lt;'Adj-Mixed'!$B$10,'E-Mixed'!D68," ")</f>
        <v>0.50115206359097542</v>
      </c>
      <c r="F68" s="92"/>
      <c r="G68" s="92">
        <f t="shared" ref="G68:G131" si="4">IFERROR(I68,"")</f>
        <v>86</v>
      </c>
      <c r="H68" s="28">
        <f>IF('E-Mixed'!A68&lt;'Adj-Mixed'!$B$10,'E-Mixed'!I68," ")</f>
        <v>46.109723043784157</v>
      </c>
      <c r="I68" s="126">
        <f>IF('E-Mixed'!A68&lt;'Adj-Mixed'!$B$10,'E-Mixed'!A68," ")</f>
        <v>86</v>
      </c>
      <c r="J68" s="26">
        <f>IF('E-Mixed'!A68&lt;'Adj-Mixed'!$B$10,'E-Mixed'!J68," ")</f>
        <v>968.71432141329797</v>
      </c>
      <c r="K68" s="28">
        <f>IF('E-Mixed'!A68&lt;'Adj-Mixed'!$B$10,'E-Mixed'!N68," ")</f>
        <v>71.415837523989438</v>
      </c>
      <c r="L68" s="27">
        <f>IF('E-Mixed'!A68&lt;'Adj-Mixed'!$B$10,'E-Mixed'!K68," ")</f>
        <v>0.44492764209747721</v>
      </c>
      <c r="M68" s="31">
        <f>IF('E-Mixed'!A68&lt;'Adj-Mixed'!$B$10,'E-Mixed'!M68," ")</f>
        <v>2.1772401391978846</v>
      </c>
      <c r="N68">
        <f>IF('E-Mixed'!A68&lt;'Adj-Mixed'!$B$10,1/L68," ")</f>
        <v>2.2475564684760911</v>
      </c>
      <c r="O68" s="19"/>
      <c r="P68">
        <f t="shared" si="2"/>
        <v>2.1356495070966428</v>
      </c>
      <c r="Q68">
        <f t="shared" si="3"/>
        <v>4.7999928640728333</v>
      </c>
      <c r="R68" s="106">
        <f t="shared" ref="R68:R131" si="5">IFERROR(IF(H68&lt;0,"",CONVERT(H68,"kg", "lbm")),"")</f>
        <v>101.65453850950834</v>
      </c>
    </row>
    <row r="69" spans="1:18" x14ac:dyDescent="0.25">
      <c r="A69" s="28">
        <f>IF('E-Mixed'!A69&lt;'Adj-Mixed'!$B$10,'E-Mixed'!B69," ")</f>
        <v>43.206405485693594</v>
      </c>
      <c r="B69" s="126">
        <f>IF('E-Mixed'!A69&lt;'Adj-Mixed'!$B$10,'E-Mixed'!A69," ")</f>
        <v>87</v>
      </c>
      <c r="C69" s="26">
        <f>IF('E-Mixed'!A69&lt;'Adj-Mixed'!$B$10,'E-Mixed'!C69," ")</f>
        <v>884.61773168836544</v>
      </c>
      <c r="D69" s="28">
        <f>IF('E-Mixed'!A69&lt;'Adj-Mixed'!$B$10,'E-Mixed'!G69," ")</f>
        <v>59.293533138181424</v>
      </c>
      <c r="E69" s="27">
        <f>IF('E-Mixed'!A69&lt;'Adj-Mixed'!$B$10,'E-Mixed'!D69," ")</f>
        <v>0.49712415232795004</v>
      </c>
      <c r="F69" s="92"/>
      <c r="G69" s="92">
        <f t="shared" si="4"/>
        <v>87</v>
      </c>
      <c r="H69" s="28">
        <f>IF('E-Mixed'!A69&lt;'Adj-Mixed'!$B$10,'E-Mixed'!I69," ")</f>
        <v>47.084911838275637</v>
      </c>
      <c r="I69" s="126">
        <f>IF('E-Mixed'!A69&lt;'Adj-Mixed'!$B$10,'E-Mixed'!A69," ")</f>
        <v>87</v>
      </c>
      <c r="J69" s="26">
        <f>IF('E-Mixed'!A69&lt;'Adj-Mixed'!$B$10,'E-Mixed'!J69," ")</f>
        <v>975.18879449147983</v>
      </c>
      <c r="K69" s="28">
        <f>IF('E-Mixed'!A69&lt;'Adj-Mixed'!$B$10,'E-Mixed'!N69," ")</f>
        <v>73.625388236836699</v>
      </c>
      <c r="L69" s="27">
        <f>IF('E-Mixed'!A69&lt;'Adj-Mixed'!$B$10,'E-Mixed'!K69," ")</f>
        <v>0.44135162357728125</v>
      </c>
      <c r="M69" s="31">
        <f>IF('E-Mixed'!A69&lt;'Adj-Mixed'!$B$10,'E-Mixed'!M69," ")</f>
        <v>2.2095507128472653</v>
      </c>
      <c r="N69">
        <f>IF('E-Mixed'!A69&lt;'Adj-Mixed'!$B$10,1/L69," ")</f>
        <v>2.2657671266613084</v>
      </c>
      <c r="O69" s="19"/>
      <c r="P69">
        <f t="shared" ref="P69:P132" si="6">IFERROR(IF(J69&lt;0,"",CONVERT(J69,"g", "lbm")),"")</f>
        <v>2.149923276909353</v>
      </c>
      <c r="Q69">
        <f t="shared" ref="Q69:Q132" si="7">IFERROR(IF(M69&lt;0,"",CONVERT(M69,"kg", "lbm")),"")</f>
        <v>4.8712254856651693</v>
      </c>
      <c r="R69" s="106">
        <f t="shared" si="5"/>
        <v>103.80446178641769</v>
      </c>
    </row>
    <row r="70" spans="1:18" x14ac:dyDescent="0.25">
      <c r="A70" s="28">
        <f>IF('E-Mixed'!A70&lt;'Adj-Mixed'!$B$10,'E-Mixed'!B70," ")</f>
        <v>44.096738551937513</v>
      </c>
      <c r="B70" s="126">
        <f>IF('E-Mixed'!A70&lt;'Adj-Mixed'!$B$10,'E-Mixed'!A70," ")</f>
        <v>88</v>
      </c>
      <c r="C70" s="26">
        <f>IF('E-Mixed'!A70&lt;'Adj-Mixed'!$B$10,'E-Mixed'!C70," ")</f>
        <v>890.33306624391889</v>
      </c>
      <c r="D70" s="28">
        <f>IF('E-Mixed'!A70&lt;'Adj-Mixed'!$B$10,'E-Mixed'!G70," ")</f>
        <v>61.099341104749143</v>
      </c>
      <c r="E70" s="27">
        <f>IF('E-Mixed'!A70&lt;'Adj-Mixed'!$B$10,'E-Mixed'!D70," ")</f>
        <v>0.49320678396799134</v>
      </c>
      <c r="F70" s="92"/>
      <c r="G70" s="92">
        <f t="shared" si="4"/>
        <v>88</v>
      </c>
      <c r="H70" s="28">
        <f>IF('E-Mixed'!A70&lt;'Adj-Mixed'!$B$10,'E-Mixed'!I70," ")</f>
        <v>48.066401128467909</v>
      </c>
      <c r="I70" s="126">
        <f>IF('E-Mixed'!A70&lt;'Adj-Mixed'!$B$10,'E-Mixed'!A70," ")</f>
        <v>88</v>
      </c>
      <c r="J70" s="26">
        <f>IF('E-Mixed'!A70&lt;'Adj-Mixed'!$B$10,'E-Mixed'!J70," ")</f>
        <v>981.48929019227035</v>
      </c>
      <c r="K70" s="28">
        <f>IF('E-Mixed'!A70&lt;'Adj-Mixed'!$B$10,'E-Mixed'!N70," ")</f>
        <v>75.866877476378065</v>
      </c>
      <c r="L70" s="27">
        <f>IF('E-Mixed'!A70&lt;'Adj-Mixed'!$B$10,'E-Mixed'!K70," ")</f>
        <v>0.4378737461140324</v>
      </c>
      <c r="M70" s="31">
        <f>IF('E-Mixed'!A70&lt;'Adj-Mixed'!$B$10,'E-Mixed'!M70," ")</f>
        <v>2.2414892395413633</v>
      </c>
      <c r="N70">
        <f>IF('E-Mixed'!A70&lt;'Adj-Mixed'!$B$10,1/L70," ")</f>
        <v>2.2837633196203933</v>
      </c>
      <c r="O70" s="19"/>
      <c r="P70">
        <f t="shared" si="6"/>
        <v>2.1638134922601768</v>
      </c>
      <c r="Q70">
        <f t="shared" si="7"/>
        <v>4.9416378841234989</v>
      </c>
      <c r="R70" s="106">
        <f t="shared" si="5"/>
        <v>105.96827527867788</v>
      </c>
    </row>
    <row r="71" spans="1:18" x14ac:dyDescent="0.25">
      <c r="A71" s="28">
        <f>IF('E-Mixed'!A71&lt;'Adj-Mixed'!$B$10,'E-Mixed'!B71," ")</f>
        <v>44.99262923505826</v>
      </c>
      <c r="B71" s="126">
        <f>IF('E-Mixed'!A71&lt;'Adj-Mixed'!$B$10,'E-Mixed'!A71," ")</f>
        <v>89</v>
      </c>
      <c r="C71" s="26">
        <f>IF('E-Mixed'!A71&lt;'Adj-Mixed'!$B$10,'E-Mixed'!C71," ")</f>
        <v>895.8906831207471</v>
      </c>
      <c r="D71" s="28">
        <f>IF('E-Mixed'!A71&lt;'Adj-Mixed'!$B$10,'E-Mixed'!G71," ")</f>
        <v>62.930748797104286</v>
      </c>
      <c r="E71" s="27">
        <f>IF('E-Mixed'!A71&lt;'Adj-Mixed'!$B$10,'E-Mixed'!D71," ")</f>
        <v>0.4893959353593817</v>
      </c>
      <c r="F71" s="92"/>
      <c r="G71" s="92">
        <f t="shared" si="4"/>
        <v>89</v>
      </c>
      <c r="H71" s="28">
        <f>IF('E-Mixed'!A71&lt;'Adj-Mixed'!$B$10,'E-Mixed'!I71," ")</f>
        <v>49.054017048851073</v>
      </c>
      <c r="I71" s="126">
        <f>IF('E-Mixed'!A71&lt;'Adj-Mixed'!$B$10,'E-Mixed'!A71," ")</f>
        <v>89</v>
      </c>
      <c r="J71" s="26">
        <f>IF('E-Mixed'!A71&lt;'Adj-Mixed'!$B$10,'E-Mixed'!J71," ")</f>
        <v>987.61592038316155</v>
      </c>
      <c r="K71" s="28">
        <f>IF('E-Mixed'!A71&lt;'Adj-Mixed'!$B$10,'E-Mixed'!N71," ")</f>
        <v>78.13992156251021</v>
      </c>
      <c r="L71" s="27">
        <f>IF('E-Mixed'!A71&lt;'Adj-Mixed'!$B$10,'E-Mixed'!K71," ")</f>
        <v>0.43449043791478092</v>
      </c>
      <c r="M71" s="31">
        <f>IF('E-Mixed'!A71&lt;'Adj-Mixed'!$B$10,'E-Mixed'!M71," ")</f>
        <v>2.2730440861321517</v>
      </c>
      <c r="N71">
        <f>IF('E-Mixed'!A71&lt;'Adj-Mixed'!$B$10,1/L71," ")</f>
        <v>2.3015466227501551</v>
      </c>
      <c r="O71" s="19"/>
      <c r="P71">
        <f t="shared" si="6"/>
        <v>2.1773203997747173</v>
      </c>
      <c r="Q71">
        <f t="shared" si="7"/>
        <v>5.0112044127465181</v>
      </c>
      <c r="R71" s="106">
        <f t="shared" si="5"/>
        <v>108.14559567845259</v>
      </c>
    </row>
    <row r="72" spans="1:18" x14ac:dyDescent="0.25">
      <c r="A72" s="28">
        <f>IF('E-Mixed'!A72&lt;'Adj-Mixed'!$B$10,'E-Mixed'!B72," ")</f>
        <v>45.893919991285827</v>
      </c>
      <c r="B72" s="126">
        <f>IF('E-Mixed'!A72&lt;'Adj-Mixed'!$B$10,'E-Mixed'!A72," ")</f>
        <v>90</v>
      </c>
      <c r="C72" s="26">
        <f>IF('E-Mixed'!A72&lt;'Adj-Mixed'!$B$10,'E-Mixed'!C72," ")</f>
        <v>901.29075622756716</v>
      </c>
      <c r="D72" s="28">
        <f>IF('E-Mixed'!A72&lt;'Adj-Mixed'!$B$10,'E-Mixed'!G72," ")</f>
        <v>64.787437217575501</v>
      </c>
      <c r="E72" s="27">
        <f>IF('E-Mixed'!A72&lt;'Adj-Mixed'!$B$10,'E-Mixed'!D72," ")</f>
        <v>0.48568770115365439</v>
      </c>
      <c r="F72" s="92"/>
      <c r="G72" s="92">
        <f t="shared" si="4"/>
        <v>90</v>
      </c>
      <c r="H72" s="28">
        <f>IF('E-Mixed'!A72&lt;'Adj-Mixed'!$B$10,'E-Mixed'!I72," ")</f>
        <v>50.047585925629484</v>
      </c>
      <c r="I72" s="126">
        <f>IF('E-Mixed'!A72&lt;'Adj-Mixed'!$B$10,'E-Mixed'!A72," ")</f>
        <v>90</v>
      </c>
      <c r="J72" s="26">
        <f>IF('E-Mixed'!A72&lt;'Adj-Mixed'!$B$10,'E-Mixed'!J72," ")</f>
        <v>993.56887677841144</v>
      </c>
      <c r="K72" s="28">
        <f>IF('E-Mixed'!A72&lt;'Adj-Mixed'!$B$10,'E-Mixed'!N72," ")</f>
        <v>80.444125994638881</v>
      </c>
      <c r="L72" s="27">
        <f>IF('E-Mixed'!A72&lt;'Adj-Mixed'!$B$10,'E-Mixed'!K72," ")</f>
        <v>0.43119823177344085</v>
      </c>
      <c r="M72" s="31">
        <f>IF('E-Mixed'!A72&lt;'Adj-Mixed'!$B$10,'E-Mixed'!M72," ")</f>
        <v>2.3042044321286781</v>
      </c>
      <c r="N72">
        <f>IF('E-Mixed'!A72&lt;'Adj-Mixed'!$B$10,1/L72," ")</f>
        <v>2.3191189720031544</v>
      </c>
      <c r="O72" s="19"/>
      <c r="P72">
        <f t="shared" si="6"/>
        <v>2.1904444221105646</v>
      </c>
      <c r="Q72">
        <f t="shared" si="7"/>
        <v>5.0799012164350961</v>
      </c>
      <c r="R72" s="106">
        <f t="shared" si="5"/>
        <v>110.33604010056317</v>
      </c>
    </row>
    <row r="73" spans="1:18" x14ac:dyDescent="0.25">
      <c r="A73" s="28">
        <f>IF('E-Mixed'!A73&lt;'Adj-Mixed'!$B$10,'E-Mixed'!B73," ")</f>
        <v>46.800453521713862</v>
      </c>
      <c r="B73" s="126">
        <f>IF('E-Mixed'!A73&lt;'Adj-Mixed'!$B$10,'E-Mixed'!A73," ")</f>
        <v>91</v>
      </c>
      <c r="C73" s="26">
        <f>IF('E-Mixed'!A73&lt;'Adj-Mixed'!$B$10,'E-Mixed'!C73," ")</f>
        <v>906.53353042803531</v>
      </c>
      <c r="D73" s="28">
        <f>IF('E-Mixed'!A73&lt;'Adj-Mixed'!$B$10,'E-Mixed'!G73," ")</f>
        <v>66.669078789842146</v>
      </c>
      <c r="E73" s="27">
        <f>IF('E-Mixed'!A73&lt;'Adj-Mixed'!$B$10,'E-Mixed'!D73," ")</f>
        <v>0.48207829057230001</v>
      </c>
      <c r="F73" s="92"/>
      <c r="G73" s="92">
        <f t="shared" si="4"/>
        <v>91</v>
      </c>
      <c r="H73" s="28">
        <f>IF('E-Mixed'!A73&lt;'Adj-Mixed'!$B$10,'E-Mixed'!I73," ")</f>
        <v>51.046934354941378</v>
      </c>
      <c r="I73" s="126">
        <f>IF('E-Mixed'!A73&lt;'Adj-Mixed'!$B$10,'E-Mixed'!A73," ")</f>
        <v>91</v>
      </c>
      <c r="J73" s="26">
        <f>IF('E-Mixed'!A73&lt;'Adj-Mixed'!$B$10,'E-Mixed'!J73," ")</f>
        <v>999.34842931189678</v>
      </c>
      <c r="K73" s="28">
        <f>IF('E-Mixed'!A73&lt;'Adj-Mixed'!$B$10,'E-Mixed'!N73," ")</f>
        <v>82.779086261756845</v>
      </c>
      <c r="L73" s="27">
        <f>IF('E-Mixed'!A73&lt;'Adj-Mixed'!$B$10,'E-Mixed'!K73," ")</f>
        <v>0.42799376220024082</v>
      </c>
      <c r="M73" s="31">
        <f>IF('E-Mixed'!A73&lt;'Adj-Mixed'!$B$10,'E-Mixed'!M73," ")</f>
        <v>2.3349602671179643</v>
      </c>
      <c r="N73">
        <f>IF('E-Mixed'!A73&lt;'Adj-Mixed'!$B$10,1/L73," ")</f>
        <v>2.3364826507264391</v>
      </c>
      <c r="O73" s="19"/>
      <c r="P73">
        <f t="shared" si="6"/>
        <v>2.2031861543700497</v>
      </c>
      <c r="Q73">
        <f t="shared" si="7"/>
        <v>5.1477062260063242</v>
      </c>
      <c r="R73" s="106">
        <f t="shared" si="5"/>
        <v>112.53922625493321</v>
      </c>
    </row>
    <row r="74" spans="1:18" x14ac:dyDescent="0.25">
      <c r="A74" s="28">
        <f>IF('E-Mixed'!A74&lt;'Adj-Mixed'!$B$10,'E-Mixed'!B74," ")</f>
        <v>47.712072841747414</v>
      </c>
      <c r="B74" s="126">
        <f>IF('E-Mixed'!A74&lt;'Adj-Mixed'!$B$10,'E-Mixed'!A74," ")</f>
        <v>92</v>
      </c>
      <c r="C74" s="26">
        <f>IF('E-Mixed'!A74&lt;'Adj-Mixed'!$B$10,'E-Mixed'!C74," ")</f>
        <v>911.61932003355162</v>
      </c>
      <c r="D74" s="28">
        <f>IF('E-Mixed'!A74&lt;'Adj-Mixed'!$B$10,'E-Mixed'!G74," ")</f>
        <v>68.575338031939495</v>
      </c>
      <c r="E74" s="27">
        <f>IF('E-Mixed'!A74&lt;'Adj-Mixed'!$B$10,'E-Mixed'!D74," ")</f>
        <v>0.47856402427346811</v>
      </c>
      <c r="F74" s="92"/>
      <c r="G74" s="92">
        <f t="shared" si="4"/>
        <v>92</v>
      </c>
      <c r="H74" s="28">
        <f>IF('E-Mixed'!A74&lt;'Adj-Mixed'!$B$10,'E-Mixed'!I74," ")</f>
        <v>52.051889279416983</v>
      </c>
      <c r="I74" s="126">
        <f>IF('E-Mixed'!A74&lt;'Adj-Mixed'!$B$10,'E-Mixed'!A74," ")</f>
        <v>92</v>
      </c>
      <c r="J74" s="26">
        <f>IF('E-Mixed'!A74&lt;'Adj-Mixed'!$B$10,'E-Mixed'!J74," ")</f>
        <v>1004.9549244756043</v>
      </c>
      <c r="K74" s="28">
        <f>IF('E-Mixed'!A74&lt;'Adj-Mixed'!$B$10,'E-Mixed'!N74," ")</f>
        <v>85.144388647649819</v>
      </c>
      <c r="L74" s="27">
        <f>IF('E-Mixed'!A74&lt;'Adj-Mixed'!$B$10,'E-Mixed'!K74," ")</f>
        <v>0.42487376263995158</v>
      </c>
      <c r="M74" s="31">
        <f>IF('E-Mixed'!A74&lt;'Adj-Mixed'!$B$10,'E-Mixed'!M74," ")</f>
        <v>2.3653023858929783</v>
      </c>
      <c r="N74">
        <f>IF('E-Mixed'!A74&lt;'Adj-Mixed'!$B$10,1/L74," ")</f>
        <v>2.3536402760822499</v>
      </c>
      <c r="O74" s="19"/>
      <c r="P74">
        <f t="shared" si="6"/>
        <v>2.2155463604372452</v>
      </c>
      <c r="Q74">
        <f t="shared" si="7"/>
        <v>5.2145991474525424</v>
      </c>
      <c r="R74" s="106">
        <f t="shared" si="5"/>
        <v>114.75477261537046</v>
      </c>
    </row>
    <row r="75" spans="1:18" x14ac:dyDescent="0.25">
      <c r="A75" s="28">
        <f>IF('E-Mixed'!A75&lt;'Adj-Mixed'!$B$10,'E-Mixed'!B75," ")</f>
        <v>48.628621349015063</v>
      </c>
      <c r="B75" s="126">
        <f>IF('E-Mixed'!A75&lt;'Adj-Mixed'!$B$10,'E-Mixed'!A75," ")</f>
        <v>93</v>
      </c>
      <c r="C75" s="26">
        <f>IF('E-Mixed'!A75&lt;'Adj-Mixed'!$B$10,'E-Mixed'!C75," ")</f>
        <v>916.54850726764892</v>
      </c>
      <c r="D75" s="28">
        <f>IF('E-Mixed'!A75&lt;'Adj-Mixed'!$B$10,'E-Mixed'!G75," ")</f>
        <v>70.505872224698564</v>
      </c>
      <c r="E75" s="27">
        <f>IF('E-Mixed'!A75&lt;'Adj-Mixed'!$B$10,'E-Mixed'!D75," ")</f>
        <v>0.47514133132053582</v>
      </c>
      <c r="F75" s="92"/>
      <c r="G75" s="92">
        <f t="shared" si="4"/>
        <v>93</v>
      </c>
      <c r="H75" s="28">
        <f>IF('E-Mixed'!A75&lt;'Adj-Mixed'!$B$10,'E-Mixed'!I75," ")</f>
        <v>53.062278063043777</v>
      </c>
      <c r="I75" s="126">
        <f>IF('E-Mixed'!A75&lt;'Adj-Mixed'!$B$10,'E-Mixed'!A75," ")</f>
        <v>93</v>
      </c>
      <c r="J75" s="26">
        <f>IF('E-Mixed'!A75&lt;'Adj-Mixed'!$B$10,'E-Mixed'!J75," ")</f>
        <v>1010.388783626797</v>
      </c>
      <c r="K75" s="28">
        <f>IF('E-Mixed'!A75&lt;'Adj-Mixed'!$B$10,'E-Mixed'!N75," ")</f>
        <v>87.539611029039264</v>
      </c>
      <c r="L75" s="27">
        <f>IF('E-Mixed'!A75&lt;'Adj-Mixed'!$B$10,'E-Mixed'!K75," ")</f>
        <v>0.42183506278055177</v>
      </c>
      <c r="M75" s="31">
        <f>IF('E-Mixed'!A75&lt;'Adj-Mixed'!$B$10,'E-Mixed'!M75," ")</f>
        <v>2.39522238138944</v>
      </c>
      <c r="N75">
        <f>IF('E-Mixed'!A75&lt;'Adj-Mixed'!$B$10,1/L75," ")</f>
        <v>2.37059478510022</v>
      </c>
      <c r="O75" s="19"/>
      <c r="P75">
        <f t="shared" si="6"/>
        <v>2.2275259692459044</v>
      </c>
      <c r="Q75">
        <f t="shared" si="7"/>
        <v>5.2805614463696555</v>
      </c>
      <c r="R75" s="106">
        <f t="shared" si="5"/>
        <v>116.98229858461636</v>
      </c>
    </row>
    <row r="76" spans="1:18" x14ac:dyDescent="0.25">
      <c r="A76" s="28">
        <f>IF('E-Mixed'!A76&lt;'Adj-Mixed'!$B$10,'E-Mixed'!B76," ")</f>
        <v>49.549942889718878</v>
      </c>
      <c r="B76" s="126">
        <f>IF('E-Mixed'!A76&lt;'Adj-Mixed'!$B$10,'E-Mixed'!A76," ")</f>
        <v>94</v>
      </c>
      <c r="C76" s="26">
        <f>IF('E-Mixed'!A76&lt;'Adj-Mixed'!$B$10,'E-Mixed'!C76," ")</f>
        <v>921.32154070381489</v>
      </c>
      <c r="D76" s="28">
        <f>IF('E-Mixed'!A76&lt;'Adj-Mixed'!$B$10,'E-Mixed'!G76," ")</f>
        <v>72.460332073760284</v>
      </c>
      <c r="E76" s="27">
        <f>IF('E-Mixed'!A76&lt;'Adj-Mixed'!$B$10,'E-Mixed'!D76," ")</f>
        <v>0.47180674625282665</v>
      </c>
      <c r="F76" s="92"/>
      <c r="G76" s="92">
        <f t="shared" si="4"/>
        <v>94</v>
      </c>
      <c r="H76" s="28">
        <f>IF('E-Mixed'!A76&lt;'Adj-Mixed'!$B$10,'E-Mixed'!I76," ")</f>
        <v>54.077928564309673</v>
      </c>
      <c r="I76" s="126">
        <f>IF('E-Mixed'!A76&lt;'Adj-Mixed'!$B$10,'E-Mixed'!A76," ")</f>
        <v>94</v>
      </c>
      <c r="J76" s="26">
        <f>IF('E-Mixed'!A76&lt;'Adj-Mixed'!$B$10,'E-Mixed'!J76," ")</f>
        <v>1015.6505012658935</v>
      </c>
      <c r="K76" s="28">
        <f>IF('E-Mixed'!A76&lt;'Adj-Mixed'!$B$10,'E-Mixed'!N76," ")</f>
        <v>89.964323664579453</v>
      </c>
      <c r="L76" s="27">
        <f>IF('E-Mixed'!A76&lt;'Adj-Mixed'!$B$10,'E-Mixed'!K76," ")</f>
        <v>0.41887458595258403</v>
      </c>
      <c r="M76" s="31">
        <f>IF('E-Mixed'!A76&lt;'Adj-Mixed'!$B$10,'E-Mixed'!M76," ")</f>
        <v>2.424712635540184</v>
      </c>
      <c r="N76">
        <f>IF('E-Mixed'!A76&lt;'Adj-Mixed'!$B$10,1/L76," ")</f>
        <v>2.3873494204138668</v>
      </c>
      <c r="O76" s="19"/>
      <c r="P76">
        <f t="shared" si="6"/>
        <v>2.2391260709828376</v>
      </c>
      <c r="Q76">
        <f t="shared" si="7"/>
        <v>5.345576327794455</v>
      </c>
      <c r="R76" s="106">
        <f t="shared" si="5"/>
        <v>119.22142465559919</v>
      </c>
    </row>
    <row r="77" spans="1:18" x14ac:dyDescent="0.25">
      <c r="A77" s="28">
        <f>IF('E-Mixed'!A77&lt;'Adj-Mixed'!$B$10,'E-Mixed'!B77," ")</f>
        <v>50.475881823397806</v>
      </c>
      <c r="B77" s="126">
        <f>IF('E-Mixed'!A77&lt;'Adj-Mixed'!$B$10,'E-Mixed'!A77," ")</f>
        <v>95</v>
      </c>
      <c r="C77" s="26">
        <f>IF('E-Mixed'!A77&lt;'Adj-Mixed'!$B$10,'E-Mixed'!C77," ")</f>
        <v>925.93893367892838</v>
      </c>
      <c r="D77" s="28">
        <f>IF('E-Mixed'!A77&lt;'Adj-Mixed'!$B$10,'E-Mixed'!G77," ")</f>
        <v>74.438362363400685</v>
      </c>
      <c r="E77" s="27">
        <f>IF('E-Mixed'!A77&lt;'Adj-Mixed'!$B$10,'E-Mixed'!D77," ")</f>
        <v>0.46855690625782037</v>
      </c>
      <c r="F77" s="92"/>
      <c r="G77" s="92">
        <f t="shared" si="4"/>
        <v>95</v>
      </c>
      <c r="H77" s="28">
        <f>IF('E-Mixed'!A77&lt;'Adj-Mixed'!$B$10,'E-Mixed'!I77," ")</f>
        <v>55.09866920759714</v>
      </c>
      <c r="I77" s="126">
        <f>IF('E-Mixed'!A77&lt;'Adj-Mixed'!$B$10,'E-Mixed'!A77," ")</f>
        <v>95</v>
      </c>
      <c r="J77" s="26">
        <f>IF('E-Mixed'!A77&lt;'Adj-Mixed'!$B$10,'E-Mixed'!J77," ")</f>
        <v>1020.7406432874652</v>
      </c>
      <c r="K77" s="28">
        <f>IF('E-Mixed'!A77&lt;'Adj-Mixed'!$B$10,'E-Mixed'!N77," ")</f>
        <v>92.418089972742379</v>
      </c>
      <c r="L77" s="27">
        <f>IF('E-Mixed'!A77&lt;'Adj-Mixed'!$B$10,'E-Mixed'!K77," ")</f>
        <v>0.41598934661861542</v>
      </c>
      <c r="M77" s="31">
        <f>IF('E-Mixed'!A77&lt;'Adj-Mixed'!$B$10,'E-Mixed'!M77," ")</f>
        <v>2.45376630816292</v>
      </c>
      <c r="N77">
        <f>IF('E-Mixed'!A77&lt;'Adj-Mixed'!$B$10,1/L77," ")</f>
        <v>2.4039077157348774</v>
      </c>
      <c r="O77" s="19"/>
      <c r="P77">
        <f t="shared" si="6"/>
        <v>2.2503479132320177</v>
      </c>
      <c r="Q77">
        <f t="shared" si="7"/>
        <v>5.4096287117063273</v>
      </c>
      <c r="R77" s="106">
        <f t="shared" si="5"/>
        <v>121.47177256883121</v>
      </c>
    </row>
    <row r="78" spans="1:18" x14ac:dyDescent="0.25">
      <c r="A78" s="28">
        <f>IF('E-Mixed'!A78&lt;'Adj-Mixed'!$B$10,'E-Mixed'!B78," ")</f>
        <v>51.406283086083022</v>
      </c>
      <c r="B78" s="126">
        <f>IF('E-Mixed'!A78&lt;'Adj-Mixed'!$B$10,'E-Mixed'!A78," ")</f>
        <v>96</v>
      </c>
      <c r="C78" s="26">
        <f>IF('E-Mixed'!A78&lt;'Adj-Mixed'!$B$10,'E-Mixed'!C78," ")</f>
        <v>930.40126268521567</v>
      </c>
      <c r="D78" s="28">
        <f>IF('E-Mixed'!A78&lt;'Adj-Mixed'!$B$10,'E-Mixed'!G78," ")</f>
        <v>76.43960260050558</v>
      </c>
      <c r="E78" s="27">
        <f>IF('E-Mixed'!A78&lt;'Adj-Mixed'!$B$10,'E-Mixed'!D78," ")</f>
        <v>0.46538854844399596</v>
      </c>
      <c r="F78" s="92"/>
      <c r="G78" s="92">
        <f t="shared" si="4"/>
        <v>96</v>
      </c>
      <c r="H78" s="28">
        <f>IF('E-Mixed'!A78&lt;'Adj-Mixed'!$B$10,'E-Mixed'!I78," ")</f>
        <v>56.124329052804697</v>
      </c>
      <c r="I78" s="126">
        <f>IF('E-Mixed'!A78&lt;'Adj-Mixed'!$B$10,'E-Mixed'!A78," ")</f>
        <v>96</v>
      </c>
      <c r="J78" s="26">
        <f>IF('E-Mixed'!A78&lt;'Adj-Mixed'!$B$10,'E-Mixed'!J78," ")</f>
        <v>1025.6598452075536</v>
      </c>
      <c r="K78" s="28">
        <f>IF('E-Mixed'!A78&lt;'Adj-Mixed'!$B$10,'E-Mixed'!N78," ")</f>
        <v>94.900467296743685</v>
      </c>
      <c r="L78" s="27">
        <f>IF('E-Mixed'!A78&lt;'Adj-Mixed'!$B$10,'E-Mixed'!K78," ")</f>
        <v>0.41317644795204111</v>
      </c>
      <c r="M78" s="31">
        <f>IF('E-Mixed'!A78&lt;'Adj-Mixed'!$B$10,'E-Mixed'!M78," ")</f>
        <v>2.4823773240013081</v>
      </c>
      <c r="N78">
        <f>IF('E-Mixed'!A78&lt;'Adj-Mixed'!$B$10,1/L78," ")</f>
        <v>2.4202734811159266</v>
      </c>
      <c r="O78" s="19"/>
      <c r="P78">
        <f t="shared" si="6"/>
        <v>2.2611928970664863</v>
      </c>
      <c r="Q78">
        <f t="shared" si="7"/>
        <v>5.4727052044577116</v>
      </c>
      <c r="R78" s="106">
        <f t="shared" si="5"/>
        <v>123.73296546589771</v>
      </c>
    </row>
    <row r="79" spans="1:18" x14ac:dyDescent="0.25">
      <c r="A79" s="28">
        <f>IF('E-Mixed'!A79&lt;'Adj-Mixed'!$B$10,'E-Mixed'!B79," ")</f>
        <v>52.340992251824915</v>
      </c>
      <c r="B79" s="126">
        <f>IF('E-Mixed'!A79&lt;'Adj-Mixed'!$B$10,'E-Mixed'!A79," ")</f>
        <v>97</v>
      </c>
      <c r="C79" s="26">
        <f>IF('E-Mixed'!A79&lt;'Adj-Mixed'!$B$10,'E-Mixed'!C79," ")</f>
        <v>934.70916574189289</v>
      </c>
      <c r="D79" s="28">
        <f>IF('E-Mixed'!A79&lt;'Adj-Mixed'!$B$10,'E-Mixed'!G79," ")</f>
        <v>78.463687647139096</v>
      </c>
      <c r="E79" s="27">
        <f>IF('E-Mixed'!A79&lt;'Adj-Mixed'!$B$10,'E-Mixed'!D79," ")</f>
        <v>0.46229850721183369</v>
      </c>
      <c r="F79" s="92"/>
      <c r="G79" s="92">
        <f t="shared" si="4"/>
        <v>97</v>
      </c>
      <c r="H79" s="28">
        <f>IF('E-Mixed'!A79&lt;'Adj-Mixed'!$B$10,'E-Mixed'!I79," ")</f>
        <v>57.154737863173288</v>
      </c>
      <c r="I79" s="126">
        <f>IF('E-Mixed'!A79&lt;'Adj-Mixed'!$B$10,'E-Mixed'!A79," ")</f>
        <v>97</v>
      </c>
      <c r="J79" s="26">
        <f>IF('E-Mixed'!A79&lt;'Adj-Mixed'!$B$10,'E-Mixed'!J79," ")</f>
        <v>1030.4088103685947</v>
      </c>
      <c r="K79" s="28">
        <f>IF('E-Mixed'!A79&lt;'Adj-Mixed'!$B$10,'E-Mixed'!N79," ")</f>
        <v>97.411007654787554</v>
      </c>
      <c r="L79" s="27">
        <f>IF('E-Mixed'!A79&lt;'Adj-Mixed'!$B$10,'E-Mixed'!K79," ")</f>
        <v>0.4104330795030347</v>
      </c>
      <c r="M79" s="31">
        <f>IF('E-Mixed'!A79&lt;'Adj-Mixed'!$B$10,'E-Mixed'!M79," ")</f>
        <v>2.5105403580438646</v>
      </c>
      <c r="N79">
        <f>IF('E-Mixed'!A79&lt;'Adj-Mixed'!$B$10,1/L79," ")</f>
        <v>2.4364507880574138</v>
      </c>
      <c r="O79" s="19"/>
      <c r="P79">
        <f t="shared" si="6"/>
        <v>2.271662573090889</v>
      </c>
      <c r="Q79">
        <f t="shared" si="7"/>
        <v>5.5347940664078292</v>
      </c>
      <c r="R79" s="106">
        <f t="shared" si="5"/>
        <v>126.0046280389886</v>
      </c>
    </row>
    <row r="80" spans="1:18" x14ac:dyDescent="0.25">
      <c r="A80" s="28">
        <f>IF('E-Mixed'!A80&lt;'Adj-Mixed'!$B$10,'E-Mixed'!B80," ")</f>
        <v>53.279855592574776</v>
      </c>
      <c r="B80" s="126">
        <f>IF('E-Mixed'!A80&lt;'Adj-Mixed'!$B$10,'E-Mixed'!A80," ")</f>
        <v>98</v>
      </c>
      <c r="C80" s="26">
        <f>IF('E-Mixed'!A80&lt;'Adj-Mixed'!$B$10,'E-Mixed'!C80," ")</f>
        <v>938.86334074986166</v>
      </c>
      <c r="D80" s="28">
        <f>IF('E-Mixed'!A80&lt;'Adj-Mixed'!$B$10,'E-Mixed'!G80," ")</f>
        <v>80.510248340260119</v>
      </c>
      <c r="E80" s="27">
        <f>IF('E-Mixed'!A80&lt;'Adj-Mixed'!$B$10,'E-Mixed'!D80," ")</f>
        <v>0.45928371172107879</v>
      </c>
      <c r="F80" s="92"/>
      <c r="G80" s="92">
        <f t="shared" si="4"/>
        <v>98</v>
      </c>
      <c r="H80" s="28">
        <f>IF('E-Mixed'!A80&lt;'Adj-Mixed'!$B$10,'E-Mixed'!I80," ")</f>
        <v>58.18972617129895</v>
      </c>
      <c r="I80" s="126">
        <f>IF('E-Mixed'!A80&lt;'Adj-Mixed'!$B$10,'E-Mixed'!A80," ")</f>
        <v>98</v>
      </c>
      <c r="J80" s="26">
        <f>IF('E-Mixed'!A80&lt;'Adj-Mixed'!$B$10,'E-Mixed'!J80," ")</f>
        <v>1034.9883081256608</v>
      </c>
      <c r="K80" s="28">
        <f>IF('E-Mixed'!A80&lt;'Adj-Mixed'!$B$10,'E-Mixed'!N80," ")</f>
        <v>99.949258474036085</v>
      </c>
      <c r="L80" s="27">
        <f>IF('E-Mixed'!A80&lt;'Adj-Mixed'!$B$10,'E-Mixed'!K80," ")</f>
        <v>0.40775651494996035</v>
      </c>
      <c r="M80" s="31">
        <f>IF('E-Mixed'!A80&lt;'Adj-Mixed'!$B$10,'E-Mixed'!M80," ")</f>
        <v>2.538250819248526</v>
      </c>
      <c r="N80">
        <f>IF('E-Mixed'!A80&lt;'Adj-Mixed'!$B$10,1/L80," ")</f>
        <v>2.4524439545073102</v>
      </c>
      <c r="O80" s="19"/>
      <c r="P80">
        <f t="shared" si="6"/>
        <v>2.2817586374428229</v>
      </c>
      <c r="Q80">
        <f t="shared" si="7"/>
        <v>5.5958851760414889</v>
      </c>
      <c r="R80" s="106">
        <f t="shared" si="5"/>
        <v>128.28638667643142</v>
      </c>
    </row>
    <row r="81" spans="1:18" x14ac:dyDescent="0.25">
      <c r="A81" s="28">
        <f>IF('E-Mixed'!A81&lt;'Adj-Mixed'!$B$10,'E-Mixed'!B81," ")</f>
        <v>54.222720136405435</v>
      </c>
      <c r="B81" s="126">
        <f>IF('E-Mixed'!A81&lt;'Adj-Mixed'!$B$10,'E-Mixed'!A81," ")</f>
        <v>99</v>
      </c>
      <c r="C81" s="26">
        <f>IF('E-Mixed'!A81&lt;'Adj-Mixed'!$B$10,'E-Mixed'!C81," ")</f>
        <v>942.86454383065893</v>
      </c>
      <c r="D81" s="28">
        <f>IF('E-Mixed'!A81&lt;'Adj-Mixed'!$B$10,'E-Mixed'!G81," ")</f>
        <v>82.578912097252243</v>
      </c>
      <c r="E81" s="27">
        <f>IF('E-Mixed'!A81&lt;'Adj-Mixed'!$B$10,'E-Mixed'!D81," ")</f>
        <v>0.45634118345095015</v>
      </c>
      <c r="F81" s="92"/>
      <c r="G81" s="92">
        <f t="shared" si="4"/>
        <v>99</v>
      </c>
      <c r="H81" s="28">
        <f>IF('E-Mixed'!A81&lt;'Adj-Mixed'!$B$10,'E-Mixed'!I81," ")</f>
        <v>59.229125343314294</v>
      </c>
      <c r="I81" s="126">
        <f>IF('E-Mixed'!A81&lt;'Adj-Mixed'!$B$10,'E-Mixed'!A81," ")</f>
        <v>99</v>
      </c>
      <c r="J81" s="26">
        <f>IF('E-Mixed'!A81&lt;'Adj-Mixed'!$B$10,'E-Mixed'!J81," ")</f>
        <v>1039.3991720153447</v>
      </c>
      <c r="K81" s="28">
        <f>IF('E-Mixed'!A81&lt;'Adj-Mixed'!$B$10,'E-Mixed'!N81," ")</f>
        <v>102.51476330683856</v>
      </c>
      <c r="L81" s="27">
        <f>IF('E-Mixed'!A81&lt;'Adj-Mixed'!$B$10,'E-Mixed'!K81," ")</f>
        <v>0.40514410993330247</v>
      </c>
      <c r="M81" s="31">
        <f>IF('E-Mixed'!A81&lt;'Adj-Mixed'!$B$10,'E-Mixed'!M81," ")</f>
        <v>2.5655048328024748</v>
      </c>
      <c r="N81">
        <f>IF('E-Mixed'!A81&lt;'Adj-Mixed'!$B$10,1/L81," ")</f>
        <v>2.4682575298074227</v>
      </c>
      <c r="O81" s="19"/>
      <c r="P81">
        <f t="shared" si="6"/>
        <v>2.2914829277559159</v>
      </c>
      <c r="Q81">
        <f t="shared" si="7"/>
        <v>5.6559699908586962</v>
      </c>
      <c r="R81" s="106">
        <f t="shared" si="5"/>
        <v>130.57786960418733</v>
      </c>
    </row>
    <row r="82" spans="1:18" x14ac:dyDescent="0.25">
      <c r="A82" s="28">
        <f>IF('E-Mixed'!A82&lt;'Adj-Mixed'!$B$10,'E-Mixed'!B82," ")</f>
        <v>55.169433724058081</v>
      </c>
      <c r="B82" s="126">
        <f>IF('E-Mixed'!A82&lt;'Adj-Mixed'!$B$10,'E-Mixed'!A82," ")</f>
        <v>100</v>
      </c>
      <c r="C82" s="26">
        <f>IF('E-Mixed'!A82&lt;'Adj-Mixed'!$B$10,'E-Mixed'!C82," ")</f>
        <v>946.71358765264563</v>
      </c>
      <c r="D82" s="28">
        <f>IF('E-Mixed'!A82&lt;'Adj-Mixed'!$B$10,'E-Mixed'!G82," ")</f>
        <v>84.669303506046518</v>
      </c>
      <c r="E82" s="27">
        <f>IF('E-Mixed'!A82&lt;'Adj-Mixed'!$B$10,'E-Mixed'!D82," ")</f>
        <v>0.45346803385047524</v>
      </c>
      <c r="F82" s="92"/>
      <c r="G82" s="92">
        <f t="shared" si="4"/>
        <v>100</v>
      </c>
      <c r="H82" s="28">
        <f>IF('E-Mixed'!A82&lt;'Adj-Mixed'!$B$10,'E-Mixed'!I82," ")</f>
        <v>60.272767641224874</v>
      </c>
      <c r="I82" s="126">
        <f>IF('E-Mixed'!A82&lt;'Adj-Mixed'!$B$10,'E-Mixed'!A82," ")</f>
        <v>100</v>
      </c>
      <c r="J82" s="26">
        <f>IF('E-Mixed'!A82&lt;'Adj-Mixed'!$B$10,'E-Mixed'!J82," ")</f>
        <v>1043.6422979105764</v>
      </c>
      <c r="K82" s="28">
        <f>IF('E-Mixed'!A82&lt;'Adj-Mixed'!$B$10,'E-Mixed'!N82," ")</f>
        <v>105.10706252788708</v>
      </c>
      <c r="L82" s="27">
        <f>IF('E-Mixed'!A82&lt;'Adj-Mixed'!$B$10,'E-Mixed'!K82," ")</f>
        <v>0.40259329996961057</v>
      </c>
      <c r="M82" s="31">
        <f>IF('E-Mixed'!A82&lt;'Adj-Mixed'!$B$10,'E-Mixed'!M82," ")</f>
        <v>2.5922992210485245</v>
      </c>
      <c r="N82">
        <f>IF('E-Mixed'!A82&lt;'Adj-Mixed'!$B$10,1/L82," ")</f>
        <v>2.4838962796337749</v>
      </c>
      <c r="O82" s="19"/>
      <c r="P82">
        <f t="shared" si="6"/>
        <v>2.3008374190918959</v>
      </c>
      <c r="Q82">
        <f t="shared" si="7"/>
        <v>5.7150415053245371</v>
      </c>
      <c r="R82" s="106">
        <f t="shared" si="5"/>
        <v>132.87870702327922</v>
      </c>
    </row>
    <row r="83" spans="1:18" x14ac:dyDescent="0.25">
      <c r="A83" s="28">
        <f>IF('E-Mixed'!A83&lt;'Adj-Mixed'!$B$10,'E-Mixed'!B83," ")</f>
        <v>56.11984506380405</v>
      </c>
      <c r="B83" s="126">
        <f>IF('E-Mixed'!A83&lt;'Adj-Mixed'!$B$10,'E-Mixed'!A83," ")</f>
        <v>101</v>
      </c>
      <c r="C83" s="26">
        <f>IF('E-Mixed'!A83&lt;'Adj-Mixed'!$B$10,'E-Mixed'!C83," ")</f>
        <v>950.41133974596903</v>
      </c>
      <c r="D83" s="28">
        <f>IF('E-Mixed'!A83&lt;'Adj-Mixed'!$B$10,'E-Mixed'!G83," ")</f>
        <v>86.781044898730713</v>
      </c>
      <c r="E83" s="27">
        <f>IF('E-Mixed'!A83&lt;'Adj-Mixed'!$B$10,'E-Mixed'!D83," ")</f>
        <v>0.45066146207520097</v>
      </c>
      <c r="F83" s="92"/>
      <c r="G83" s="92">
        <f t="shared" si="4"/>
        <v>101</v>
      </c>
      <c r="H83" s="28">
        <f>IF('E-Mixed'!A83&lt;'Adj-Mixed'!$B$10,'E-Mixed'!I83," ")</f>
        <v>61.320486283387936</v>
      </c>
      <c r="I83" s="126">
        <f>IF('E-Mixed'!A83&lt;'Adj-Mixed'!$B$10,'E-Mixed'!A83," ")</f>
        <v>101</v>
      </c>
      <c r="J83" s="26">
        <f>IF('E-Mixed'!A83&lt;'Adj-Mixed'!$B$10,'E-Mixed'!J83," ")</f>
        <v>1047.7186421630638</v>
      </c>
      <c r="K83" s="28">
        <f>IF('E-Mixed'!A83&lt;'Adj-Mixed'!$B$10,'E-Mixed'!N83," ")</f>
        <v>107.72569401109673</v>
      </c>
      <c r="L83" s="27">
        <f>IF('E-Mixed'!A83&lt;'Adj-Mixed'!$B$10,'E-Mixed'!K83," ")</f>
        <v>0.40010159844212911</v>
      </c>
      <c r="M83" s="31">
        <f>IF('E-Mixed'!A83&lt;'Adj-Mixed'!$B$10,'E-Mixed'!M83," ")</f>
        <v>2.6186314832096484</v>
      </c>
      <c r="N83">
        <f>IF('E-Mixed'!A83&lt;'Adj-Mixed'!$B$10,1/L83," ")</f>
        <v>2.4993651709807914</v>
      </c>
      <c r="O83" s="19"/>
      <c r="P83">
        <f t="shared" si="6"/>
        <v>2.3098242198453729</v>
      </c>
      <c r="Q83">
        <f t="shared" si="7"/>
        <v>5.7730942061694037</v>
      </c>
      <c r="R83" s="106">
        <f t="shared" si="5"/>
        <v>135.1885312431246</v>
      </c>
    </row>
    <row r="84" spans="1:18" x14ac:dyDescent="0.25">
      <c r="A84" s="28">
        <f>IF('E-Mixed'!A84&lt;'Adj-Mixed'!$B$10,'E-Mixed'!B84," ")</f>
        <v>57.073803784612991</v>
      </c>
      <c r="B84" s="126">
        <f>IF('E-Mixed'!A84&lt;'Adj-Mixed'!$B$10,'E-Mixed'!A84," ")</f>
        <v>102</v>
      </c>
      <c r="C84" s="26">
        <f>IF('E-Mixed'!A84&lt;'Adj-Mixed'!$B$10,'E-Mixed'!C84," ")</f>
        <v>953.95872080894151</v>
      </c>
      <c r="D84" s="28">
        <f>IF('E-Mixed'!A84&lt;'Adj-Mixed'!$B$10,'E-Mixed'!G84," ")</f>
        <v>88.913756907652996</v>
      </c>
      <c r="E84" s="27">
        <f>IF('E-Mixed'!A84&lt;'Adj-Mixed'!$B$10,'E-Mixed'!D84," ")</f>
        <v>0.4479187528068917</v>
      </c>
      <c r="F84" s="92"/>
      <c r="G84" s="92">
        <f t="shared" si="4"/>
        <v>102</v>
      </c>
      <c r="H84" s="28">
        <f>IF('E-Mixed'!A84&lt;'Adj-Mixed'!$B$10,'E-Mixed'!I84," ")</f>
        <v>62.372115503124206</v>
      </c>
      <c r="I84" s="126">
        <f>IF('E-Mixed'!A84&lt;'Adj-Mixed'!$B$10,'E-Mixed'!A84," ")</f>
        <v>102</v>
      </c>
      <c r="J84" s="26">
        <f>IF('E-Mixed'!A84&lt;'Adj-Mixed'!$B$10,'E-Mixed'!J84," ")</f>
        <v>1051.6292197362711</v>
      </c>
      <c r="K84" s="28">
        <f>IF('E-Mixed'!A84&lt;'Adj-Mixed'!$B$10,'E-Mixed'!N84," ")</f>
        <v>110.37019378513962</v>
      </c>
      <c r="L84" s="27">
        <f>IF('E-Mixed'!A84&lt;'Adj-Mixed'!$B$10,'E-Mixed'!K84," ")</f>
        <v>0.39766659466510446</v>
      </c>
      <c r="M84" s="31">
        <f>IF('E-Mixed'!A84&lt;'Adj-Mixed'!$B$10,'E-Mixed'!M84," ")</f>
        <v>2.6444997740428819</v>
      </c>
      <c r="N84">
        <f>IF('E-Mixed'!A84&lt;'Adj-Mixed'!$B$10,1/L84," ")</f>
        <v>2.5146693572341716</v>
      </c>
      <c r="O84" s="19"/>
      <c r="P84">
        <f t="shared" si="6"/>
        <v>2.3184455676277604</v>
      </c>
      <c r="Q84">
        <f t="shared" si="7"/>
        <v>5.8301240253289137</v>
      </c>
      <c r="R84" s="106">
        <f t="shared" si="5"/>
        <v>137.50697681075235</v>
      </c>
    </row>
    <row r="85" spans="1:18" x14ac:dyDescent="0.25">
      <c r="A85" s="28">
        <f>IF('E-Mixed'!A85&lt;'Adj-Mixed'!$B$10,'E-Mixed'!B85," ")</f>
        <v>58.031160487620582</v>
      </c>
      <c r="B85" s="126">
        <f>IF('E-Mixed'!A85&lt;'Adj-Mixed'!$B$10,'E-Mixed'!A85," ")</f>
        <v>103</v>
      </c>
      <c r="C85" s="26">
        <f>IF('E-Mixed'!A85&lt;'Adj-Mixed'!$B$10,'E-Mixed'!C85," ")</f>
        <v>957.35670300759068</v>
      </c>
      <c r="D85" s="28">
        <f>IF('E-Mixed'!A85&lt;'Adj-Mixed'!$B$10,'E-Mixed'!G85," ")</f>
        <v>91.067059003142163</v>
      </c>
      <c r="E85" s="27">
        <f>IF('E-Mixed'!A85&lt;'Adj-Mixed'!$B$10,'E-Mixed'!D85," ")</f>
        <v>0.44523727415229125</v>
      </c>
      <c r="F85" s="92"/>
      <c r="G85" s="92">
        <f t="shared" si="4"/>
        <v>103</v>
      </c>
      <c r="H85" s="28">
        <f>IF('E-Mixed'!A85&lt;'Adj-Mixed'!$B$10,'E-Mixed'!I85," ")</f>
        <v>63.427490605455077</v>
      </c>
      <c r="I85" s="126">
        <f>IF('E-Mixed'!A85&lt;'Adj-Mixed'!$B$10,'E-Mixed'!A85," ")</f>
        <v>103</v>
      </c>
      <c r="J85" s="26">
        <f>IF('E-Mixed'!A85&lt;'Adj-Mixed'!$B$10,'E-Mixed'!J85," ")</f>
        <v>1055.3751023308691</v>
      </c>
      <c r="K85" s="28">
        <f>IF('E-Mixed'!A85&lt;'Adj-Mixed'!$B$10,'E-Mixed'!N85," ")</f>
        <v>113.04009666669218</v>
      </c>
      <c r="L85" s="27">
        <f>IF('E-Mixed'!A85&lt;'Adj-Mixed'!$B$10,'E-Mixed'!K85," ")</f>
        <v>0.39528595201828531</v>
      </c>
      <c r="M85" s="31">
        <f>IF('E-Mixed'!A85&lt;'Adj-Mixed'!$B$10,'E-Mixed'!M85," ")</f>
        <v>2.6699028815525656</v>
      </c>
      <c r="N85">
        <f>IF('E-Mixed'!A85&lt;'Adj-Mixed'!$B$10,1/L85," ")</f>
        <v>2.5298141633774569</v>
      </c>
      <c r="O85" s="19"/>
      <c r="P85">
        <f t="shared" si="6"/>
        <v>2.3267038251346008</v>
      </c>
      <c r="Q85">
        <f t="shared" si="7"/>
        <v>5.8861282908100181</v>
      </c>
      <c r="R85" s="106">
        <f t="shared" si="5"/>
        <v>139.83368063588696</v>
      </c>
    </row>
    <row r="86" spans="1:18" x14ac:dyDescent="0.25">
      <c r="A86" s="28">
        <f>IF('E-Mixed'!A86&lt;'Adj-Mixed'!$B$10,'E-Mixed'!B86," ")</f>
        <v>58.991766795890953</v>
      </c>
      <c r="B86" s="126">
        <f>IF('E-Mixed'!A86&lt;'Adj-Mixed'!$B$10,'E-Mixed'!A86," ")</f>
        <v>104</v>
      </c>
      <c r="C86" s="26">
        <f>IF('E-Mixed'!A86&lt;'Adj-Mixed'!$B$10,'E-Mixed'!C86," ")</f>
        <v>960.6063082703713</v>
      </c>
      <c r="D86" s="28">
        <f>IF('E-Mixed'!A86&lt;'Adj-Mixed'!$B$10,'E-Mixed'!G86," ")</f>
        <v>93.24057001207882</v>
      </c>
      <c r="E86" s="27">
        <f>IF('E-Mixed'!A86&lt;'Adj-Mixed'!$B$10,'E-Mixed'!D86," ")</f>
        <v>0.44261447561702211</v>
      </c>
      <c r="F86" s="92"/>
      <c r="G86" s="92">
        <f t="shared" si="4"/>
        <v>104</v>
      </c>
      <c r="H86" s="28">
        <f>IF('E-Mixed'!A86&lt;'Adj-Mixed'!$B$10,'E-Mixed'!I86," ")</f>
        <v>64.48644802195993</v>
      </c>
      <c r="I86" s="126">
        <f>IF('E-Mixed'!A86&lt;'Adj-Mixed'!$B$10,'E-Mixed'!A86," ")</f>
        <v>104</v>
      </c>
      <c r="J86" s="26">
        <f>IF('E-Mixed'!A86&lt;'Adj-Mixed'!$B$10,'E-Mixed'!J86," ")</f>
        <v>1058.9574165048525</v>
      </c>
      <c r="K86" s="28">
        <f>IF('E-Mixed'!A86&lt;'Adj-Mixed'!$B$10,'E-Mixed'!N86," ")</f>
        <v>115.73493687058355</v>
      </c>
      <c r="L86" s="27">
        <f>IF('E-Mixed'!A86&lt;'Adj-Mixed'!$B$10,'E-Mixed'!K86," ")</f>
        <v>0.39295740614813113</v>
      </c>
      <c r="M86" s="31">
        <f>IF('E-Mixed'!A86&lt;'Adj-Mixed'!$B$10,'E-Mixed'!M86," ")</f>
        <v>2.6948402038913675</v>
      </c>
      <c r="N86">
        <f>IF('E-Mixed'!A86&lt;'Adj-Mixed'!$B$10,1/L86," ")</f>
        <v>2.5448050713746699</v>
      </c>
      <c r="O86" s="19"/>
      <c r="P86">
        <f t="shared" si="6"/>
        <v>2.3346014760011338</v>
      </c>
      <c r="Q86">
        <f t="shared" si="7"/>
        <v>5.941105675766476</v>
      </c>
      <c r="R86" s="106">
        <f t="shared" si="5"/>
        <v>142.16828211188809</v>
      </c>
    </row>
    <row r="87" spans="1:18" x14ac:dyDescent="0.25">
      <c r="A87" s="28">
        <f>IF('E-Mixed'!A87&lt;'Adj-Mixed'!$B$10,'E-Mixed'!B87," ")</f>
        <v>59.955475402471635</v>
      </c>
      <c r="B87" s="126">
        <f>IF('E-Mixed'!A87&lt;'Adj-Mixed'!$B$10,'E-Mixed'!A87," ")</f>
        <v>105</v>
      </c>
      <c r="C87" s="26">
        <f>IF('E-Mixed'!A87&lt;'Adj-Mixed'!$B$10,'E-Mixed'!C87," ")</f>
        <v>963.70860658068125</v>
      </c>
      <c r="D87" s="28">
        <f>IF('E-Mixed'!A87&lt;'Adj-Mixed'!$B$10,'E-Mixed'!G87," ")</f>
        <v>95.433908616662606</v>
      </c>
      <c r="E87" s="27">
        <f>IF('E-Mixed'!A87&lt;'Adj-Mixed'!$B$10,'E-Mixed'!D87," ")</f>
        <v>0.44004788615107415</v>
      </c>
      <c r="F87" s="92"/>
      <c r="G87" s="92">
        <f t="shared" si="4"/>
        <v>105</v>
      </c>
      <c r="H87" s="28">
        <f>IF('E-Mixed'!A87&lt;'Adj-Mixed'!$B$10,'E-Mixed'!I87," ")</f>
        <v>65.548825363751163</v>
      </c>
      <c r="I87" s="126">
        <f>IF('E-Mixed'!A87&lt;'Adj-Mixed'!$B$10,'E-Mixed'!A87," ")</f>
        <v>105</v>
      </c>
      <c r="J87" s="26">
        <f>IF('E-Mixed'!A87&lt;'Adj-Mixed'!$B$10,'E-Mixed'!J87," ")</f>
        <v>1062.3773417912357</v>
      </c>
      <c r="K87" s="28">
        <f>IF('E-Mixed'!A87&lt;'Adj-Mixed'!$B$10,'E-Mixed'!N87," ")</f>
        <v>118.45424859615791</v>
      </c>
      <c r="L87" s="27">
        <f>IF('E-Mixed'!A87&lt;'Adj-Mixed'!$B$10,'E-Mixed'!K87," ")</f>
        <v>0.39067876323257789</v>
      </c>
      <c r="M87" s="31">
        <f>IF('E-Mixed'!A87&lt;'Adj-Mixed'!$B$10,'E-Mixed'!M87," ")</f>
        <v>2.7193117255743533</v>
      </c>
      <c r="N87">
        <f>IF('E-Mixed'!A87&lt;'Adj-Mixed'!$B$10,1/L87," ")</f>
        <v>2.5596477057665981</v>
      </c>
      <c r="O87" s="19"/>
      <c r="P87">
        <f t="shared" si="6"/>
        <v>2.3421411206525269</v>
      </c>
      <c r="Q87">
        <f t="shared" si="7"/>
        <v>5.9950561460598495</v>
      </c>
      <c r="R87" s="106">
        <f t="shared" si="5"/>
        <v>144.51042323254063</v>
      </c>
    </row>
    <row r="88" spans="1:18" x14ac:dyDescent="0.25">
      <c r="A88" s="28">
        <f>IF('E-Mixed'!A88&lt;'Adj-Mixed'!$B$10,'E-Mixed'!B88," ")</f>
        <v>60.922140116739754</v>
      </c>
      <c r="B88" s="126">
        <f>IF('E-Mixed'!A88&lt;'Adj-Mixed'!$B$10,'E-Mixed'!A88," ")</f>
        <v>106</v>
      </c>
      <c r="C88" s="26">
        <f>IF('E-Mixed'!A88&lt;'Adj-Mixed'!$B$10,'E-Mixed'!C88," ")</f>
        <v>966.66471426811995</v>
      </c>
      <c r="D88" s="28">
        <f>IF('E-Mixed'!A88&lt;'Adj-Mixed'!$B$10,'E-Mixed'!G88," ")</f>
        <v>97.646693832828845</v>
      </c>
      <c r="E88" s="27">
        <f>IF('E-Mixed'!A88&lt;'Adj-Mixed'!$B$10,'E-Mixed'!D88," ")</f>
        <v>0.43753511226145986</v>
      </c>
      <c r="F88" s="92"/>
      <c r="G88" s="92">
        <f t="shared" si="4"/>
        <v>106</v>
      </c>
      <c r="H88" s="28">
        <f>IF('E-Mixed'!A88&lt;'Adj-Mixed'!$B$10,'E-Mixed'!I88," ")</f>
        <v>66.614461472565523</v>
      </c>
      <c r="I88" s="126">
        <f>IF('E-Mixed'!A88&lt;'Adj-Mixed'!$B$10,'E-Mixed'!A88," ")</f>
        <v>106</v>
      </c>
      <c r="J88" s="26">
        <f>IF('E-Mixed'!A88&lt;'Adj-Mixed'!$B$10,'E-Mixed'!J88," ")</f>
        <v>1065.6361088143638</v>
      </c>
      <c r="K88" s="28">
        <f>IF('E-Mixed'!A88&lt;'Adj-Mixed'!$B$10,'E-Mixed'!N88," ")</f>
        <v>121.19756658928671</v>
      </c>
      <c r="L88" s="27">
        <f>IF('E-Mixed'!A88&lt;'Adj-Mixed'!$B$10,'E-Mixed'!K88," ")</f>
        <v>0.38844789830543541</v>
      </c>
      <c r="M88" s="31">
        <f>IF('E-Mixed'!A88&lt;'Adj-Mixed'!$B$10,'E-Mixed'!M88," ")</f>
        <v>2.743317993128791</v>
      </c>
      <c r="N88">
        <f>IF('E-Mixed'!A88&lt;'Adj-Mixed'!$B$10,1/L88," ")</f>
        <v>2.5743478195207095</v>
      </c>
      <c r="O88" s="19"/>
      <c r="P88">
        <f t="shared" si="6"/>
        <v>2.3493254721510497</v>
      </c>
      <c r="Q88">
        <f t="shared" si="7"/>
        <v>6.0479809065765169</v>
      </c>
      <c r="R88" s="106">
        <f t="shared" si="5"/>
        <v>146.85974870469164</v>
      </c>
    </row>
    <row r="89" spans="1:18" x14ac:dyDescent="0.25">
      <c r="A89" s="28">
        <f>IF('E-Mixed'!A89&lt;'Adj-Mixed'!$B$10,'E-Mixed'!B89," ")</f>
        <v>61.891615909041029</v>
      </c>
      <c r="B89" s="126">
        <f>IF('E-Mixed'!A89&lt;'Adj-Mixed'!$B$10,'E-Mixed'!A89," ")</f>
        <v>107</v>
      </c>
      <c r="C89" s="26">
        <f>IF('E-Mixed'!A89&lt;'Adj-Mixed'!$B$10,'E-Mixed'!C89," ")</f>
        <v>969.4757923012744</v>
      </c>
      <c r="D89" s="28">
        <f>IF('E-Mixed'!A89&lt;'Adj-Mixed'!$B$10,'E-Mixed'!G89," ")</f>
        <v>99.878545467872954</v>
      </c>
      <c r="E89" s="27">
        <f>IF('E-Mixed'!A89&lt;'Adj-Mixed'!$B$10,'E-Mixed'!D89," ")</f>
        <v>0.4350738361885646</v>
      </c>
      <c r="F89" s="92"/>
      <c r="G89" s="92">
        <f t="shared" si="4"/>
        <v>107</v>
      </c>
      <c r="H89" s="28">
        <f>IF('E-Mixed'!A89&lt;'Adj-Mixed'!$B$10,'E-Mixed'!I89," ")</f>
        <v>67.683196469973424</v>
      </c>
      <c r="I89" s="126">
        <f>IF('E-Mixed'!A89&lt;'Adj-Mixed'!$B$10,'E-Mixed'!A89," ")</f>
        <v>107</v>
      </c>
      <c r="J89" s="26">
        <f>IF('E-Mixed'!A89&lt;'Adj-Mixed'!$B$10,'E-Mixed'!J89," ")</f>
        <v>1068.734997407905</v>
      </c>
      <c r="K89" s="28">
        <f>IF('E-Mixed'!A89&lt;'Adj-Mixed'!$B$10,'E-Mixed'!N89," ")</f>
        <v>123.96442667958512</v>
      </c>
      <c r="L89" s="27">
        <f>IF('E-Mixed'!A89&lt;'Adj-Mixed'!$B$10,'E-Mixed'!K89," ")</f>
        <v>0.3862627536373332</v>
      </c>
      <c r="M89" s="31">
        <f>IF('E-Mixed'!A89&lt;'Adj-Mixed'!$B$10,'E-Mixed'!M89," ")</f>
        <v>2.7668600902984122</v>
      </c>
      <c r="N89">
        <f>IF('E-Mixed'!A89&lt;'Adj-Mixed'!$B$10,1/L89," ")</f>
        <v>2.5889112801668479</v>
      </c>
      <c r="O89" s="19"/>
      <c r="P89">
        <f t="shared" si="6"/>
        <v>2.3561573520469601</v>
      </c>
      <c r="Q89">
        <f t="shared" si="7"/>
        <v>6.0998823465624259</v>
      </c>
      <c r="R89" s="106">
        <f t="shared" si="5"/>
        <v>149.21590605673862</v>
      </c>
    </row>
    <row r="90" spans="1:18" x14ac:dyDescent="0.25">
      <c r="A90" s="28">
        <f>IF('E-Mixed'!A90&lt;'Adj-Mixed'!$B$10,'E-Mixed'!B90," ")</f>
        <v>62.863758953624867</v>
      </c>
      <c r="B90" s="126">
        <f>IF('E-Mixed'!A90&lt;'Adj-Mixed'!$B$10,'E-Mixed'!A90," ")</f>
        <v>108</v>
      </c>
      <c r="C90" s="26">
        <f>IF('E-Mixed'!A90&lt;'Adj-Mixed'!$B$10,'E-Mixed'!C90," ")</f>
        <v>972.14304458383799</v>
      </c>
      <c r="D90" s="28">
        <f>IF('E-Mixed'!A90&lt;'Adj-Mixed'!$B$10,'E-Mixed'!G90," ")</f>
        <v>102.12908455694277</v>
      </c>
      <c r="E90" s="27">
        <f>IF('E-Mixed'!A90&lt;'Adj-Mixed'!$B$10,'E-Mixed'!D90," ")</f>
        <v>0.43266181414232885</v>
      </c>
      <c r="F90" s="92"/>
      <c r="G90" s="92">
        <f t="shared" si="4"/>
        <v>108</v>
      </c>
      <c r="H90" s="28">
        <f>IF('E-Mixed'!A90&lt;'Adj-Mixed'!$B$10,'E-Mixed'!I90," ")</f>
        <v>68.75487180470995</v>
      </c>
      <c r="I90" s="126">
        <f>IF('E-Mixed'!A90&lt;'Adj-Mixed'!$B$10,'E-Mixed'!A90," ")</f>
        <v>108</v>
      </c>
      <c r="J90" s="26">
        <f>IF('E-Mixed'!A90&lt;'Adj-Mixed'!$B$10,'E-Mixed'!J90," ")</f>
        <v>1071.6753347365197</v>
      </c>
      <c r="K90" s="28">
        <f>IF('E-Mixed'!A90&lt;'Adj-Mixed'!$B$10,'E-Mixed'!N90," ")</f>
        <v>126.75436629250181</v>
      </c>
      <c r="L90" s="27">
        <f>IF('E-Mixed'!A90&lt;'Adj-Mixed'!$B$10,'E-Mixed'!K90," ")</f>
        <v>0.38412133716978636</v>
      </c>
      <c r="M90" s="31">
        <f>IF('E-Mixed'!A90&lt;'Adj-Mixed'!$B$10,'E-Mixed'!M90," ")</f>
        <v>2.7899396129167022</v>
      </c>
      <c r="N90">
        <f>IF('E-Mixed'!A90&lt;'Adj-Mixed'!$B$10,1/L90," ")</f>
        <v>2.6033440562506103</v>
      </c>
      <c r="O90" s="19"/>
      <c r="P90">
        <f t="shared" si="6"/>
        <v>2.3626396862374905</v>
      </c>
      <c r="Q90">
        <f t="shared" si="7"/>
        <v>6.1507639842281785</v>
      </c>
      <c r="R90" s="106">
        <f t="shared" si="5"/>
        <v>151.5785457429761</v>
      </c>
    </row>
    <row r="91" spans="1:18" x14ac:dyDescent="0.25">
      <c r="A91" s="28">
        <f>IF('E-Mixed'!A91&lt;'Adj-Mixed'!$B$10,'E-Mixed'!B91," ")</f>
        <v>63.838426669879802</v>
      </c>
      <c r="B91" s="126">
        <f>IF('E-Mixed'!A91&lt;'Adj-Mixed'!$B$10,'E-Mixed'!A91," ")</f>
        <v>109</v>
      </c>
      <c r="C91" s="26">
        <f>IF('E-Mixed'!A91&lt;'Adj-Mixed'!$B$10,'E-Mixed'!C91," ")</f>
        <v>974.6677162549347</v>
      </c>
      <c r="D91" s="28">
        <f>IF('E-Mixed'!A91&lt;'Adj-Mixed'!$B$10,'E-Mixed'!G91," ")</f>
        <v>104.39793377815661</v>
      </c>
      <c r="E91" s="27">
        <f>IF('E-Mixed'!A91&lt;'Adj-Mixed'!$B$10,'E-Mixed'!D91," ")</f>
        <v>0.43029687459416283</v>
      </c>
      <c r="F91" s="92"/>
      <c r="G91" s="92">
        <f t="shared" si="4"/>
        <v>109</v>
      </c>
      <c r="H91" s="28">
        <f>IF('E-Mixed'!A91&lt;'Adj-Mixed'!$B$10,'E-Mixed'!I91," ")</f>
        <v>69.82933029813212</v>
      </c>
      <c r="I91" s="126">
        <f>IF('E-Mixed'!A91&lt;'Adj-Mixed'!$B$10,'E-Mixed'!A91," ")</f>
        <v>109</v>
      </c>
      <c r="J91" s="26">
        <f>IF('E-Mixed'!A91&lt;'Adj-Mixed'!$B$10,'E-Mixed'!J91," ")</f>
        <v>1074.4584934221643</v>
      </c>
      <c r="K91" s="28">
        <f>IF('E-Mixed'!A91&lt;'Adj-Mixed'!$B$10,'E-Mixed'!N91," ")</f>
        <v>129.56692493606047</v>
      </c>
      <c r="L91" s="27">
        <f>IF('E-Mixed'!A91&lt;'Adj-Mixed'!$B$10,'E-Mixed'!K91," ")</f>
        <v>0.38202172099874054</v>
      </c>
      <c r="M91" s="31">
        <f>IF('E-Mixed'!A91&lt;'Adj-Mixed'!$B$10,'E-Mixed'!M91," ")</f>
        <v>2.8125586435586647</v>
      </c>
      <c r="N91">
        <f>IF('E-Mixed'!A91&lt;'Adj-Mixed'!$B$10,1/L91," ")</f>
        <v>2.6176522041355255</v>
      </c>
      <c r="O91" s="19"/>
      <c r="P91">
        <f t="shared" si="6"/>
        <v>2.3687755008360574</v>
      </c>
      <c r="Q91">
        <f t="shared" si="7"/>
        <v>6.2006304108657391</v>
      </c>
      <c r="R91" s="106">
        <f t="shared" si="5"/>
        <v>153.94732124381218</v>
      </c>
    </row>
    <row r="92" spans="1:18" x14ac:dyDescent="0.25">
      <c r="A92" s="28">
        <f>IF('E-Mixed'!A92&lt;'Adj-Mixed'!$B$10,'E-Mixed'!B92," ")</f>
        <v>64.815477761876735</v>
      </c>
      <c r="B92" s="126">
        <f>IF('E-Mixed'!A92&lt;'Adj-Mixed'!$B$10,'E-Mixed'!A92," ")</f>
        <v>110</v>
      </c>
      <c r="C92" s="26">
        <f>IF('E-Mixed'!A92&lt;'Adj-Mixed'!$B$10,'E-Mixed'!C92," ")</f>
        <v>977.05109199693402</v>
      </c>
      <c r="D92" s="28">
        <f>IF('E-Mixed'!A92&lt;'Adj-Mixed'!$B$10,'E-Mixed'!G92," ")</f>
        <v>106.68471784619854</v>
      </c>
      <c r="E92" s="27">
        <f>IF('E-Mixed'!A92&lt;'Adj-Mixed'!$B$10,'E-Mixed'!D92," ")</f>
        <v>0.42797691662149895</v>
      </c>
      <c r="F92" s="92"/>
      <c r="G92" s="92">
        <f t="shared" si="4"/>
        <v>110</v>
      </c>
      <c r="H92" s="28">
        <f>IF('E-Mixed'!A92&lt;'Adj-Mixed'!$B$10,'E-Mixed'!I92," ")</f>
        <v>70.906416187810777</v>
      </c>
      <c r="I92" s="126">
        <f>IF('E-Mixed'!A92&lt;'Adj-Mixed'!$B$10,'E-Mixed'!A92," ")</f>
        <v>110</v>
      </c>
      <c r="J92" s="26">
        <f>IF('E-Mixed'!A92&lt;'Adj-Mixed'!$B$10,'E-Mixed'!J92," ")</f>
        <v>1077.0858896786517</v>
      </c>
      <c r="K92" s="28">
        <f>IF('E-Mixed'!A92&lt;'Adj-Mixed'!$B$10,'E-Mixed'!N92," ")</f>
        <v>132.40164466213724</v>
      </c>
      <c r="L92" s="27">
        <f>IF('E-Mixed'!A92&lt;'Adj-Mixed'!$B$10,'E-Mixed'!K92," ")</f>
        <v>0.37996203990485</v>
      </c>
      <c r="M92" s="31">
        <f>IF('E-Mixed'!A92&lt;'Adj-Mixed'!$B$10,'E-Mixed'!M92," ")</f>
        <v>2.834719726076782</v>
      </c>
      <c r="N92">
        <f>IF('E-Mixed'!A92&lt;'Adj-Mixed'!$B$10,1/L92," ")</f>
        <v>2.6318418551769533</v>
      </c>
      <c r="O92" s="19"/>
      <c r="P92">
        <f t="shared" si="6"/>
        <v>2.3745679180596704</v>
      </c>
      <c r="Q92">
        <f t="shared" si="7"/>
        <v>6.2494872347098385</v>
      </c>
      <c r="R92" s="106">
        <f t="shared" si="5"/>
        <v>156.32188916187187</v>
      </c>
    </row>
    <row r="93" spans="1:18" x14ac:dyDescent="0.25">
      <c r="A93" s="28">
        <f>IF('E-Mixed'!A93&lt;'Adj-Mixed'!$B$10,'E-Mixed'!B93," ")</f>
        <v>65.794772256227816</v>
      </c>
      <c r="B93" s="126">
        <f>IF('E-Mixed'!A93&lt;'Adj-Mixed'!$B$10,'E-Mixed'!A93," ")</f>
        <v>111</v>
      </c>
      <c r="C93" s="26">
        <f>IF('E-Mixed'!A93&lt;'Adj-Mixed'!$B$10,'E-Mixed'!C93," ")</f>
        <v>979.2944943510804</v>
      </c>
      <c r="D93" s="28">
        <f>IF('E-Mixed'!A93&lt;'Adj-Mixed'!$B$10,'E-Mixed'!G93," ")</f>
        <v>108.98906388433126</v>
      </c>
      <c r="E93" s="27">
        <f>IF('E-Mixed'!A93&lt;'Adj-Mixed'!$B$10,'E-Mixed'!D93," ")</f>
        <v>0.42569990830099658</v>
      </c>
      <c r="F93" s="92"/>
      <c r="G93" s="92">
        <f t="shared" si="4"/>
        <v>111</v>
      </c>
      <c r="H93" s="28">
        <f>IF('E-Mixed'!A93&lt;'Adj-Mixed'!$B$10,'E-Mixed'!I93," ")</f>
        <v>71.9859751692656</v>
      </c>
      <c r="I93" s="126">
        <f>IF('E-Mixed'!A93&lt;'Adj-Mixed'!$B$10,'E-Mixed'!A93," ")</f>
        <v>111</v>
      </c>
      <c r="J93" s="26">
        <f>IF('E-Mixed'!A93&lt;'Adj-Mixed'!$B$10,'E-Mixed'!J93," ")</f>
        <v>1079.5589814548293</v>
      </c>
      <c r="K93" s="28">
        <f>IF('E-Mixed'!A93&lt;'Adj-Mixed'!$B$10,'E-Mixed'!N93," ")</f>
        <v>135.25807050225691</v>
      </c>
      <c r="L93" s="27">
        <f>IF('E-Mixed'!A93&lt;'Adj-Mixed'!$B$10,'E-Mixed'!K93," ")</f>
        <v>0.37794048992694884</v>
      </c>
      <c r="M93" s="31">
        <f>IF('E-Mixed'!A93&lt;'Adj-Mixed'!$B$10,'E-Mixed'!M93," ")</f>
        <v>2.8564258401196829</v>
      </c>
      <c r="N93">
        <f>IF('E-Mixed'!A93&lt;'Adj-Mixed'!$B$10,1/L93," ")</f>
        <v>2.6459192032938503</v>
      </c>
      <c r="O93" s="19"/>
      <c r="P93">
        <f t="shared" si="6"/>
        <v>2.3800201521353399</v>
      </c>
      <c r="Q93">
        <f t="shared" si="7"/>
        <v>6.2973410247612476</v>
      </c>
      <c r="R93" s="106">
        <f t="shared" si="5"/>
        <v>158.7019093140072</v>
      </c>
    </row>
    <row r="94" spans="1:18" x14ac:dyDescent="0.25">
      <c r="A94" s="28">
        <f>IF('E-Mixed'!A94&lt;'Adj-Mixed'!$B$10,'E-Mixed'!B94," ")</f>
        <v>66.776171538271058</v>
      </c>
      <c r="B94" s="126">
        <f>IF('E-Mixed'!A94&lt;'Adj-Mixed'!$B$10,'E-Mixed'!A94," ")</f>
        <v>112</v>
      </c>
      <c r="C94" s="26">
        <f>IF('E-Mixed'!A94&lt;'Adj-Mixed'!$B$10,'E-Mixed'!C94," ")</f>
        <v>981.39928204324178</v>
      </c>
      <c r="D94" s="28">
        <f>IF('E-Mixed'!A94&lt;'Adj-Mixed'!$B$10,'E-Mixed'!G94," ")</f>
        <v>111.31060177485125</v>
      </c>
      <c r="E94" s="27">
        <f>IF('E-Mixed'!A94&lt;'Adj-Mixed'!$B$10,'E-Mixed'!D94," ")</f>
        <v>0.42346388514716682</v>
      </c>
      <c r="F94" s="92"/>
      <c r="G94" s="92">
        <f t="shared" si="4"/>
        <v>112</v>
      </c>
      <c r="H94" s="28">
        <f>IF('E-Mixed'!A94&lt;'Adj-Mixed'!$B$10,'E-Mixed'!I94," ")</f>
        <v>73.067854435854514</v>
      </c>
      <c r="I94" s="126">
        <f>IF('E-Mixed'!A94&lt;'Adj-Mixed'!$B$10,'E-Mixed'!A94," ")</f>
        <v>112</v>
      </c>
      <c r="J94" s="26">
        <f>IF('E-Mixed'!A94&lt;'Adj-Mixed'!$B$10,'E-Mixed'!J94," ")</f>
        <v>1081.8792665889086</v>
      </c>
      <c r="K94" s="28">
        <f>IF('E-Mixed'!A94&lt;'Adj-Mixed'!$B$10,'E-Mixed'!N94," ")</f>
        <v>138.1357508779852</v>
      </c>
      <c r="L94" s="27">
        <f>IF('E-Mixed'!A94&lt;'Adj-Mixed'!$B$10,'E-Mixed'!K94," ")</f>
        <v>0.37595532697584738</v>
      </c>
      <c r="M94" s="31">
        <f>IF('E-Mixed'!A94&lt;'Adj-Mixed'!$B$10,'E-Mixed'!M94," ")</f>
        <v>2.8776803757282896</v>
      </c>
      <c r="N94">
        <f>IF('E-Mixed'!A94&lt;'Adj-Mixed'!$B$10,1/L94," ")</f>
        <v>2.6598904929580724</v>
      </c>
      <c r="O94" s="19"/>
      <c r="P94">
        <f t="shared" si="6"/>
        <v>2.3851355052310703</v>
      </c>
      <c r="Q94">
        <f t="shared" si="7"/>
        <v>6.3441992547808717</v>
      </c>
      <c r="R94" s="106">
        <f t="shared" si="5"/>
        <v>161.08704481923829</v>
      </c>
    </row>
    <row r="95" spans="1:18" x14ac:dyDescent="0.25">
      <c r="A95" s="28">
        <f>IF('E-Mixed'!A95&lt;'Adj-Mixed'!$B$10,'E-Mixed'!B95," ")</f>
        <v>67.759538386592553</v>
      </c>
      <c r="B95" s="126">
        <f>IF('E-Mixed'!A95&lt;'Adj-Mixed'!$B$10,'E-Mixed'!A95," ")</f>
        <v>113</v>
      </c>
      <c r="C95" s="26">
        <f>IF('E-Mixed'!A95&lt;'Adj-Mixed'!$B$10,'E-Mixed'!C95," ")</f>
        <v>983.36684832149501</v>
      </c>
      <c r="D95" s="28">
        <f>IF('E-Mixed'!A95&lt;'Adj-Mixed'!$B$10,'E-Mixed'!G95," ")</f>
        <v>113.64896448808993</v>
      </c>
      <c r="E95" s="27">
        <f>IF('E-Mixed'!A95&lt;'Adj-Mixed'!$B$10,'E-Mixed'!D95," ")</f>
        <v>0.42126694859329994</v>
      </c>
      <c r="F95" s="92"/>
      <c r="G95" s="92">
        <f t="shared" si="4"/>
        <v>113</v>
      </c>
      <c r="H95" s="28">
        <f>IF('E-Mixed'!A95&lt;'Adj-Mixed'!$B$10,'E-Mixed'!I95," ")</f>
        <v>74.151902716830364</v>
      </c>
      <c r="I95" s="126">
        <f>IF('E-Mixed'!A95&lt;'Adj-Mixed'!$B$10,'E-Mixed'!A95," ")</f>
        <v>113</v>
      </c>
      <c r="J95" s="26">
        <f>IF('E-Mixed'!A95&lt;'Adj-Mixed'!$B$10,'E-Mixed'!J95," ")</f>
        <v>1084.0482809758457</v>
      </c>
      <c r="K95" s="28">
        <f>IF('E-Mixed'!A95&lt;'Adj-Mixed'!$B$10,'E-Mixed'!N95," ")</f>
        <v>141.0342379860823</v>
      </c>
      <c r="L95" s="27">
        <f>IF('E-Mixed'!A95&lt;'Adj-Mixed'!$B$10,'E-Mixed'!K95," ")</f>
        <v>0.37400486548568473</v>
      </c>
      <c r="M95" s="31">
        <f>IF('E-Mixed'!A95&lt;'Adj-Mixed'!$B$10,'E-Mixed'!M95," ")</f>
        <v>2.8984871080970964</v>
      </c>
      <c r="N95">
        <f>IF('E-Mixed'!A95&lt;'Adj-Mixed'!$B$10,1/L95," ")</f>
        <v>2.6737620076182553</v>
      </c>
      <c r="O95" s="19"/>
      <c r="P95">
        <f t="shared" si="6"/>
        <v>2.3899173634156274</v>
      </c>
      <c r="Q95">
        <f t="shared" si="7"/>
        <v>6.3900702476478966</v>
      </c>
      <c r="R95" s="106">
        <f t="shared" si="5"/>
        <v>163.47696218265392</v>
      </c>
    </row>
    <row r="96" spans="1:18" x14ac:dyDescent="0.25">
      <c r="A96" s="28">
        <f>IF('E-Mixed'!A96&lt;'Adj-Mixed'!$B$10,'E-Mixed'!B96," ")</f>
        <v>68.744737005898997</v>
      </c>
      <c r="B96" s="126">
        <f>IF('E-Mixed'!A96&lt;'Adj-Mixed'!$B$10,'E-Mixed'!A96," ")</f>
        <v>114</v>
      </c>
      <c r="C96" s="26">
        <f>IF('E-Mixed'!A96&lt;'Adj-Mixed'!$B$10,'E-Mixed'!C96," ")</f>
        <v>985.19861930644481</v>
      </c>
      <c r="D96" s="28">
        <f>IF('E-Mixed'!A96&lt;'Adj-Mixed'!$B$10,'E-Mixed'!G96," ")</f>
        <v>116.00378839013881</v>
      </c>
      <c r="E96" s="27">
        <f>IF('E-Mixed'!A96&lt;'Adj-Mixed'!$B$10,'E-Mixed'!D96," ")</f>
        <v>0.41910726451128971</v>
      </c>
      <c r="F96" s="92"/>
      <c r="G96" s="92">
        <f t="shared" si="4"/>
        <v>114</v>
      </c>
      <c r="H96" s="28">
        <f>IF('E-Mixed'!A96&lt;'Adj-Mixed'!$B$10,'E-Mixed'!I96," ")</f>
        <v>75.237970313579126</v>
      </c>
      <c r="I96" s="126">
        <f>IF('E-Mixed'!A96&lt;'Adj-Mixed'!$B$10,'E-Mixed'!A96," ")</f>
        <v>114</v>
      </c>
      <c r="J96" s="26">
        <f>IF('E-Mixed'!A96&lt;'Adj-Mixed'!$B$10,'E-Mixed'!J96," ")</f>
        <v>1086.0675967487598</v>
      </c>
      <c r="K96" s="28">
        <f>IF('E-Mixed'!A96&lt;'Adj-Mixed'!$B$10,'E-Mixed'!N96," ")</f>
        <v>143.95308815866528</v>
      </c>
      <c r="L96" s="27">
        <f>IF('E-Mixed'!A96&lt;'Adj-Mixed'!$B$10,'E-Mixed'!K96," ")</f>
        <v>0.37208747709981443</v>
      </c>
      <c r="M96" s="31">
        <f>IF('E-Mixed'!A96&lt;'Adj-Mixed'!$B$10,'E-Mixed'!M96," ")</f>
        <v>2.9188501725829825</v>
      </c>
      <c r="N96">
        <f>IF('E-Mixed'!A96&lt;'Adj-Mixed'!$B$10,1/L96," ")</f>
        <v>2.6875400585753781</v>
      </c>
      <c r="O96" s="19"/>
      <c r="P96">
        <f t="shared" si="6"/>
        <v>2.3943691926492496</v>
      </c>
      <c r="Q96">
        <f t="shared" si="7"/>
        <v>6.4349631202636468</v>
      </c>
      <c r="R96" s="106">
        <f t="shared" si="5"/>
        <v>165.87133137530316</v>
      </c>
    </row>
    <row r="97" spans="1:18" x14ac:dyDescent="0.25">
      <c r="A97" s="28">
        <f>IF('E-Mixed'!A97&lt;'Adj-Mixed'!$B$10,'E-Mixed'!B97," ")</f>
        <v>69.731633058255511</v>
      </c>
      <c r="B97" s="126">
        <f>IF('E-Mixed'!A97&lt;'Adj-Mixed'!$B$10,'E-Mixed'!A97," ")</f>
        <v>115</v>
      </c>
      <c r="C97" s="26">
        <f>IF('E-Mixed'!A97&lt;'Adj-Mixed'!$B$10,'E-Mixed'!C97," ")</f>
        <v>986.89605235651356</v>
      </c>
      <c r="D97" s="28">
        <f>IF('E-Mixed'!A97&lt;'Adj-Mixed'!$B$10,'E-Mixed'!G97," ")</f>
        <v>118.37471352954522</v>
      </c>
      <c r="E97" s="27">
        <f>IF('E-Mixed'!A97&lt;'Adj-Mixed'!$B$10,'E-Mixed'!D97," ")</f>
        <v>0.41698306176772221</v>
      </c>
      <c r="F97" s="92"/>
      <c r="G97" s="92">
        <f t="shared" si="4"/>
        <v>115</v>
      </c>
      <c r="H97" s="28">
        <f>IF('E-Mixed'!A97&lt;'Adj-Mixed'!$B$10,'E-Mixed'!I97," ")</f>
        <v>76.325909134055976</v>
      </c>
      <c r="I97" s="126">
        <f>IF('E-Mixed'!A97&lt;'Adj-Mixed'!$B$10,'E-Mixed'!A97," ")</f>
        <v>115</v>
      </c>
      <c r="J97" s="26">
        <f>IF('E-Mixed'!A97&lt;'Adj-Mixed'!$B$10,'E-Mixed'!J97," ")</f>
        <v>1087.9388204768522</v>
      </c>
      <c r="K97" s="28">
        <f>IF('E-Mixed'!A97&lt;'Adj-Mixed'!$B$10,'E-Mixed'!N97," ")</f>
        <v>146.89186219870325</v>
      </c>
      <c r="L97" s="27">
        <f>IF('E-Mixed'!A97&lt;'Adj-Mixed'!$B$10,'E-Mixed'!K97," ")</f>
        <v>0.37020158938888631</v>
      </c>
      <c r="M97" s="31">
        <f>IF('E-Mixed'!A97&lt;'Adj-Mixed'!$B$10,'E-Mixed'!M97," ")</f>
        <v>2.9387740400379623</v>
      </c>
      <c r="N97">
        <f>IF('E-Mixed'!A97&lt;'Adj-Mixed'!$B$10,1/L97," ")</f>
        <v>2.7012309743206648</v>
      </c>
      <c r="O97" s="19"/>
      <c r="P97">
        <f t="shared" si="6"/>
        <v>2.3984945348107427</v>
      </c>
      <c r="Q97">
        <f t="shared" si="7"/>
        <v>6.4788877291696112</v>
      </c>
      <c r="R97" s="106">
        <f t="shared" si="5"/>
        <v>168.26982591011392</v>
      </c>
    </row>
    <row r="98" spans="1:18" x14ac:dyDescent="0.25">
      <c r="A98" s="28">
        <f>IF('E-Mixed'!A98&lt;'Adj-Mixed'!$B$10,'E-Mixed'!B98," ")</f>
        <v>70.72009369270441</v>
      </c>
      <c r="B98" s="126">
        <f>IF('E-Mixed'!A98&lt;'Adj-Mixed'!$B$10,'E-Mixed'!A98," ")</f>
        <v>116</v>
      </c>
      <c r="C98" s="26">
        <f>IF('E-Mixed'!A98&lt;'Adj-Mixed'!$B$10,'E-Mixed'!C98," ")</f>
        <v>988.46063444889865</v>
      </c>
      <c r="D98" s="28">
        <f>IF('E-Mixed'!A98&lt;'Adj-Mixed'!$B$10,'E-Mixed'!G98," ")</f>
        <v>120.7613839032889</v>
      </c>
      <c r="E98" s="27">
        <f>IF('E-Mixed'!A98&lt;'Adj-Mixed'!$B$10,'E-Mixed'!D98," ")</f>
        <v>0.41489263081323791</v>
      </c>
      <c r="F98" s="92"/>
      <c r="G98" s="92">
        <f t="shared" si="4"/>
        <v>116</v>
      </c>
      <c r="H98" s="28">
        <f>IF('E-Mixed'!A98&lt;'Adj-Mixed'!$B$10,'E-Mixed'!I98," ")</f>
        <v>77.415572725436576</v>
      </c>
      <c r="I98" s="126">
        <f>IF('E-Mixed'!A98&lt;'Adj-Mixed'!$B$10,'E-Mixed'!A98," ")</f>
        <v>116</v>
      </c>
      <c r="J98" s="26">
        <f>IF('E-Mixed'!A98&lt;'Adj-Mixed'!$B$10,'E-Mixed'!J98," ")</f>
        <v>1089.6635913806006</v>
      </c>
      <c r="K98" s="28">
        <f>IF('E-Mixed'!A98&lt;'Adj-Mixed'!$B$10,'E-Mixed'!N98," ")</f>
        <v>149.85012569123862</v>
      </c>
      <c r="L98" s="27">
        <f>IF('E-Mixed'!A98&lt;'Adj-Mixed'!$B$10,'E-Mixed'!K98," ")</f>
        <v>0.3683456845984685</v>
      </c>
      <c r="M98" s="31">
        <f>IF('E-Mixed'!A98&lt;'Adj-Mixed'!$B$10,'E-Mixed'!M98," ")</f>
        <v>2.9582634925353788</v>
      </c>
      <c r="N98">
        <f>IF('E-Mixed'!A98&lt;'Adj-Mixed'!$B$10,1/L98," ")</f>
        <v>2.7148410903472215</v>
      </c>
      <c r="O98" s="19"/>
      <c r="P98">
        <f t="shared" si="6"/>
        <v>2.4022970037626528</v>
      </c>
      <c r="Q98">
        <f t="shared" si="7"/>
        <v>6.5218546170328633</v>
      </c>
      <c r="R98" s="106">
        <f t="shared" si="5"/>
        <v>170.67212291387656</v>
      </c>
    </row>
    <row r="99" spans="1:18" x14ac:dyDescent="0.25">
      <c r="A99" s="28">
        <f>IF('E-Mixed'!A99&lt;'Adj-Mixed'!$B$10,'E-Mixed'!B99," ")</f>
        <v>71.709987573282234</v>
      </c>
      <c r="B99" s="126">
        <f>IF('E-Mixed'!A99&lt;'Adj-Mixed'!$B$10,'E-Mixed'!A99," ")</f>
        <v>117</v>
      </c>
      <c r="C99" s="26">
        <f>IF('E-Mixed'!A99&lt;'Adj-Mixed'!$B$10,'E-Mixed'!C99," ")</f>
        <v>989.89388057782435</v>
      </c>
      <c r="D99" s="28">
        <f>IF('E-Mixed'!A99&lt;'Adj-Mixed'!$B$10,'E-Mixed'!G99," ")</f>
        <v>123.16344770240758</v>
      </c>
      <c r="E99" s="27">
        <f>IF('E-Mixed'!A99&lt;'Adj-Mixed'!$B$10,'E-Mixed'!D99," ")</f>
        <v>0.41283432230260297</v>
      </c>
      <c r="F99" s="92"/>
      <c r="G99" s="92">
        <f t="shared" si="4"/>
        <v>117</v>
      </c>
      <c r="H99" s="28">
        <f>IF('E-Mixed'!A99&lt;'Adj-Mixed'!$B$10,'E-Mixed'!I99," ")</f>
        <v>78.506816305002587</v>
      </c>
      <c r="I99" s="126">
        <f>IF('E-Mixed'!A99&lt;'Adj-Mixed'!$B$10,'E-Mixed'!A99," ")</f>
        <v>117</v>
      </c>
      <c r="J99" s="26">
        <f>IF('E-Mixed'!A99&lt;'Adj-Mixed'!$B$10,'E-Mixed'!J99," ")</f>
        <v>1091.243579566016</v>
      </c>
      <c r="K99" s="28">
        <f>IF('E-Mixed'!A99&lt;'Adj-Mixed'!$B$10,'E-Mixed'!N99," ")</f>
        <v>152.8274492907928</v>
      </c>
      <c r="L99" s="27">
        <f>IF('E-Mixed'!A99&lt;'Adj-Mixed'!$B$10,'E-Mixed'!K99," ")</f>
        <v>0.36651829842393319</v>
      </c>
      <c r="M99" s="31">
        <f>IF('E-Mixed'!A99&lt;'Adj-Mixed'!$B$10,'E-Mixed'!M99," ")</f>
        <v>2.9773235995541749</v>
      </c>
      <c r="N99">
        <f>IF('E-Mixed'!A99&lt;'Adj-Mixed'!$B$10,1/L99," ")</f>
        <v>2.728376739442762</v>
      </c>
      <c r="O99" s="19"/>
      <c r="P99">
        <f t="shared" si="6"/>
        <v>2.4057802814584734</v>
      </c>
      <c r="Q99">
        <f t="shared" si="7"/>
        <v>6.5638749601413595</v>
      </c>
      <c r="R99" s="106">
        <f t="shared" si="5"/>
        <v>173.07790319533504</v>
      </c>
    </row>
    <row r="100" spans="1:18" x14ac:dyDescent="0.25">
      <c r="A100" s="28">
        <f>IF('E-Mixed'!A100&lt;'Adj-Mixed'!$B$10,'E-Mixed'!B100," ")</f>
        <v>72.701184905453943</v>
      </c>
      <c r="B100" s="126">
        <f>IF('E-Mixed'!A100&lt;'Adj-Mixed'!$B$10,'E-Mixed'!A100," ")</f>
        <v>118</v>
      </c>
      <c r="C100" s="26">
        <f>IF('E-Mixed'!A100&lt;'Adj-Mixed'!$B$10,'E-Mixed'!C100," ")</f>
        <v>991.19733217170847</v>
      </c>
      <c r="D100" s="28">
        <f>IF('E-Mixed'!A100&lt;'Adj-Mixed'!$B$10,'E-Mixed'!G100," ")</f>
        <v>125.5805575376928</v>
      </c>
      <c r="E100" s="27">
        <f>IF('E-Mixed'!A100&lt;'Adj-Mixed'!$B$10,'E-Mixed'!D100," ")</f>
        <v>0.41080654574319031</v>
      </c>
      <c r="F100" s="92"/>
      <c r="G100" s="92">
        <f t="shared" si="4"/>
        <v>118</v>
      </c>
      <c r="H100" s="28">
        <f>IF('E-Mixed'!A100&lt;'Adj-Mixed'!$B$10,'E-Mixed'!I100," ")</f>
        <v>79.599496789282341</v>
      </c>
      <c r="I100" s="126">
        <f>IF('E-Mixed'!A100&lt;'Adj-Mixed'!$B$10,'E-Mixed'!A100," ")</f>
        <v>118</v>
      </c>
      <c r="J100" s="26">
        <f>IF('E-Mixed'!A100&lt;'Adj-Mixed'!$B$10,'E-Mixed'!J100," ")</f>
        <v>1092.6804842797524</v>
      </c>
      <c r="K100" s="28">
        <f>IF('E-Mixed'!A100&lt;'Adj-Mixed'!$B$10,'E-Mixed'!N100," ")</f>
        <v>155.82340898547213</v>
      </c>
      <c r="L100" s="27">
        <f>IF('E-Mixed'!A100&lt;'Adj-Mixed'!$B$10,'E-Mixed'!K100," ")</f>
        <v>0.36471801881056548</v>
      </c>
      <c r="M100" s="31">
        <f>IF('E-Mixed'!A100&lt;'Adj-Mixed'!$B$10,'E-Mixed'!M100," ")</f>
        <v>2.9959596946793314</v>
      </c>
      <c r="N100">
        <f>IF('E-Mixed'!A100&lt;'Adj-Mixed'!$B$10,1/L100," ")</f>
        <v>2.7418442424677676</v>
      </c>
      <c r="O100" s="19"/>
      <c r="P100">
        <f t="shared" si="6"/>
        <v>2.4089481140958178</v>
      </c>
      <c r="Q100">
        <f t="shared" si="7"/>
        <v>6.6049605170372052</v>
      </c>
      <c r="R100" s="106">
        <f t="shared" si="5"/>
        <v>175.48685130943085</v>
      </c>
    </row>
    <row r="101" spans="1:18" x14ac:dyDescent="0.25">
      <c r="A101" s="28">
        <f>IF('E-Mixed'!A101&lt;'Adj-Mixed'!$B$10,'E-Mixed'!B101," ")</f>
        <v>73.69355746098347</v>
      </c>
      <c r="B101" s="126">
        <f>IF('E-Mixed'!A101&lt;'Adj-Mixed'!$B$10,'E-Mixed'!A101," ")</f>
        <v>119</v>
      </c>
      <c r="C101" s="26">
        <f>IF('E-Mixed'!A101&lt;'Adj-Mixed'!$B$10,'E-Mixed'!C101," ")</f>
        <v>992.37255552952774</v>
      </c>
      <c r="D101" s="28">
        <f>IF('E-Mixed'!A101&lt;'Adj-Mixed'!$B$10,'E-Mixed'!G101," ")</f>
        <v>128.01237064592462</v>
      </c>
      <c r="E101" s="27">
        <f>IF('E-Mixed'!A101&lt;'Adj-Mixed'!$B$10,'E-Mixed'!D101," ")</f>
        <v>0.4088077681693843</v>
      </c>
      <c r="F101" s="92"/>
      <c r="G101" s="92">
        <f t="shared" si="4"/>
        <v>119</v>
      </c>
      <c r="H101" s="28">
        <f>IF('E-Mixed'!A101&lt;'Adj-Mixed'!$B$10,'E-Mixed'!I101," ")</f>
        <v>80.693472821467722</v>
      </c>
      <c r="I101" s="126">
        <f>IF('E-Mixed'!A101&lt;'Adj-Mixed'!$B$10,'E-Mixed'!A101," ")</f>
        <v>119</v>
      </c>
      <c r="J101" s="26">
        <f>IF('E-Mixed'!A101&lt;'Adj-Mixed'!$B$10,'E-Mixed'!J101," ")</f>
        <v>1093.9760321853801</v>
      </c>
      <c r="K101" s="28">
        <f>IF('E-Mixed'!A101&lt;'Adj-Mixed'!$B$10,'E-Mixed'!N101," ")</f>
        <v>158.83758633834151</v>
      </c>
      <c r="L101" s="27">
        <f>IF('E-Mixed'!A101&lt;'Adj-Mixed'!$B$10,'E-Mixed'!K101," ")</f>
        <v>0.36294348477668659</v>
      </c>
      <c r="M101" s="31">
        <f>IF('E-Mixed'!A101&lt;'Adj-Mixed'!$B$10,'E-Mixed'!M101," ")</f>
        <v>3.0141773528693765</v>
      </c>
      <c r="N101">
        <f>IF('E-Mixed'!A101&lt;'Adj-Mixed'!$B$10,1/L101," ")</f>
        <v>2.7552498996235855</v>
      </c>
      <c r="O101" s="19"/>
      <c r="P101">
        <f t="shared" si="6"/>
        <v>2.4118043083162535</v>
      </c>
      <c r="Q101">
        <f t="shared" si="7"/>
        <v>6.6451235784000877</v>
      </c>
      <c r="R101" s="106">
        <f t="shared" si="5"/>
        <v>177.8986556177471</v>
      </c>
    </row>
    <row r="102" spans="1:18" x14ac:dyDescent="0.25">
      <c r="A102" s="28">
        <f>IF('E-Mixed'!A102&lt;'Adj-Mixed'!$B$10,'E-Mixed'!B102," ")</f>
        <v>74.686978601262098</v>
      </c>
      <c r="B102" s="126">
        <f>IF('E-Mixed'!A102&lt;'Adj-Mixed'!$B$10,'E-Mixed'!A102," ")</f>
        <v>120</v>
      </c>
      <c r="C102" s="26">
        <f>IF('E-Mixed'!A102&lt;'Adj-Mixed'!$B$10,'E-Mixed'!C102," ")</f>
        <v>993.42114027862749</v>
      </c>
      <c r="D102" s="28">
        <f>IF('E-Mixed'!A102&lt;'Adj-Mixed'!$B$10,'E-Mixed'!G102," ")</f>
        <v>130.45854907715625</v>
      </c>
      <c r="E102" s="27">
        <f>IF('E-Mixed'!A102&lt;'Adj-Mixed'!$B$10,'E-Mixed'!D102," ")</f>
        <v>0.40683651284100403</v>
      </c>
      <c r="F102" s="92"/>
      <c r="G102" s="92">
        <f t="shared" si="4"/>
        <v>120</v>
      </c>
      <c r="H102" s="28">
        <f>IF('E-Mixed'!A102&lt;'Adj-Mixed'!$B$10,'E-Mixed'!I102," ")</f>
        <v>81.788604797131015</v>
      </c>
      <c r="I102" s="126">
        <f>IF('E-Mixed'!A102&lt;'Adj-Mixed'!$B$10,'E-Mixed'!A102," ")</f>
        <v>120</v>
      </c>
      <c r="J102" s="26">
        <f>IF('E-Mixed'!A102&lt;'Adj-Mixed'!$B$10,'E-Mixed'!J102," ")</f>
        <v>1095.1319756632993</v>
      </c>
      <c r="K102" s="28">
        <f>IF('E-Mixed'!A102&lt;'Adj-Mixed'!$B$10,'E-Mixed'!N102," ")</f>
        <v>161.86956870668067</v>
      </c>
      <c r="L102" s="27">
        <f>IF('E-Mixed'!A102&lt;'Adj-Mixed'!$B$10,'E-Mixed'!K102," ")</f>
        <v>0.3611933852581018</v>
      </c>
      <c r="M102" s="31">
        <f>IF('E-Mixed'!A102&lt;'Adj-Mixed'!$B$10,'E-Mixed'!M102," ")</f>
        <v>3.0319823683391633</v>
      </c>
      <c r="N102">
        <f>IF('E-Mixed'!A102&lt;'Adj-Mixed'!$B$10,1/L102," ")</f>
        <v>2.7685999822101377</v>
      </c>
      <c r="O102" s="19"/>
      <c r="P102">
        <f t="shared" si="6"/>
        <v>2.4143527274572527</v>
      </c>
      <c r="Q102">
        <f t="shared" si="7"/>
        <v>6.6843769182871462</v>
      </c>
      <c r="R102" s="106">
        <f t="shared" si="5"/>
        <v>180.31300834520434</v>
      </c>
    </row>
    <row r="103" spans="1:18" x14ac:dyDescent="0.25">
      <c r="A103" s="28">
        <f>IF('E-Mixed'!A103&lt;'Adj-Mixed'!$B$10,'E-Mixed'!B103," ")</f>
        <v>75.681323299116187</v>
      </c>
      <c r="B103" s="126">
        <f>IF('E-Mixed'!A103&lt;'Adj-Mixed'!$B$10,'E-Mixed'!A103," ")</f>
        <v>121</v>
      </c>
      <c r="C103" s="26">
        <f>IF('E-Mixed'!A103&lt;'Adj-Mixed'!$B$10,'E-Mixed'!C103," ")</f>
        <v>994.34469785408908</v>
      </c>
      <c r="D103" s="28">
        <f>IF('E-Mixed'!A103&lt;'Adj-Mixed'!$B$10,'E-Mixed'!G103," ")</f>
        <v>132.9187598635971</v>
      </c>
      <c r="E103" s="27">
        <f>IF('E-Mixed'!A103&lt;'Adj-Mixed'!$B$10,'E-Mixed'!D103," ")</f>
        <v>0.40489135796375697</v>
      </c>
      <c r="F103" s="92"/>
      <c r="G103" s="92">
        <f t="shared" si="4"/>
        <v>121</v>
      </c>
      <c r="H103" s="28">
        <f>IF('E-Mixed'!A103&lt;'Adj-Mixed'!$B$10,'E-Mixed'!I103," ")</f>
        <v>82.884754888265434</v>
      </c>
      <c r="I103" s="126">
        <f>IF('E-Mixed'!A103&lt;'Adj-Mixed'!$B$10,'E-Mixed'!A103," ")</f>
        <v>121</v>
      </c>
      <c r="J103" s="26">
        <f>IF('E-Mixed'!A103&lt;'Adj-Mixed'!$B$10,'E-Mixed'!J103," ")</f>
        <v>1096.1500911344178</v>
      </c>
      <c r="K103" s="28">
        <f>IF('E-Mixed'!A103&lt;'Adj-Mixed'!$B$10,'E-Mixed'!N103," ")</f>
        <v>164.9189494397767</v>
      </c>
      <c r="L103" s="27">
        <f>IF('E-Mixed'!A103&lt;'Adj-Mixed'!$B$10,'E-Mixed'!K103," ")</f>
        <v>0.35946645797210686</v>
      </c>
      <c r="M103" s="31">
        <f>IF('E-Mixed'!A103&lt;'Adj-Mixed'!$B$10,'E-Mixed'!M103," ")</f>
        <v>3.0493807330960334</v>
      </c>
      <c r="N103">
        <f>IF('E-Mixed'!A103&lt;'Adj-Mixed'!$B$10,1/L103," ")</f>
        <v>2.7819007248726275</v>
      </c>
      <c r="O103" s="19"/>
      <c r="P103">
        <f t="shared" si="6"/>
        <v>2.4165972878565345</v>
      </c>
      <c r="Q103">
        <f t="shared" si="7"/>
        <v>6.7227337468133195</v>
      </c>
      <c r="R103" s="106">
        <f t="shared" si="5"/>
        <v>182.72960563306088</v>
      </c>
    </row>
    <row r="104" spans="1:18" x14ac:dyDescent="0.25">
      <c r="A104" s="28">
        <f>IF('E-Mixed'!A104&lt;'Adj-Mixed'!$B$10,'E-Mixed'!B104," ")</f>
        <v>76.676468159117377</v>
      </c>
      <c r="B104" s="126">
        <f>IF('E-Mixed'!A104&lt;'Adj-Mixed'!$B$10,'E-Mixed'!A104," ")</f>
        <v>122</v>
      </c>
      <c r="C104" s="26">
        <f>IF('E-Mixed'!A104&lt;'Adj-Mixed'!$B$10,'E-Mixed'!C104," ")</f>
        <v>995.14486000119007</v>
      </c>
      <c r="D104" s="28">
        <f>IF('E-Mixed'!A104&lt;'Adj-Mixed'!$B$10,'E-Mixed'!G104," ")</f>
        <v>135.39267517067481</v>
      </c>
      <c r="E104" s="27">
        <f>IF('E-Mixed'!A104&lt;'Adj-Mixed'!$B$10,'E-Mixed'!D104," ")</f>
        <v>0.40297093542991225</v>
      </c>
      <c r="F104" s="92"/>
      <c r="G104" s="92">
        <f t="shared" si="4"/>
        <v>122</v>
      </c>
      <c r="H104" s="28">
        <f>IF('E-Mixed'!A104&lt;'Adj-Mixed'!$B$10,'E-Mixed'!I104," ")</f>
        <v>83.981787065674723</v>
      </c>
      <c r="I104" s="126">
        <f>IF('E-Mixed'!A104&lt;'Adj-Mixed'!$B$10,'E-Mixed'!A104," ")</f>
        <v>122</v>
      </c>
      <c r="J104" s="26">
        <f>IF('E-Mixed'!A104&lt;'Adj-Mixed'!$B$10,'E-Mixed'!J104," ")</f>
        <v>1097.0321774092881</v>
      </c>
      <c r="K104" s="28">
        <f>IF('E-Mixed'!A104&lt;'Adj-Mixed'!$B$10,'E-Mixed'!N104," ")</f>
        <v>167.98532805594311</v>
      </c>
      <c r="L104" s="27">
        <f>IF('E-Mixed'!A104&lt;'Adj-Mixed'!$B$10,'E-Mixed'!K104," ")</f>
        <v>0.35776148829944521</v>
      </c>
      <c r="M104" s="31">
        <f>IF('E-Mixed'!A104&lt;'Adj-Mixed'!$B$10,'E-Mixed'!M104," ")</f>
        <v>3.0663786161664102</v>
      </c>
      <c r="N104">
        <f>IF('E-Mixed'!A104&lt;'Adj-Mixed'!$B$10,1/L104," ")</f>
        <v>2.7951583183347091</v>
      </c>
      <c r="O104" s="19"/>
      <c r="P104">
        <f t="shared" si="6"/>
        <v>2.418541955212536</v>
      </c>
      <c r="Q104">
        <f t="shared" si="7"/>
        <v>6.7602076643538123</v>
      </c>
      <c r="R104" s="106">
        <f t="shared" si="5"/>
        <v>185.14814758827342</v>
      </c>
    </row>
    <row r="105" spans="1:18" x14ac:dyDescent="0.25">
      <c r="A105" s="28">
        <f>IF('E-Mixed'!A105&lt;'Adj-Mixed'!$B$10,'E-Mixed'!B105," ")</f>
        <v>77.6722914364193</v>
      </c>
      <c r="B105" s="126">
        <f>IF('E-Mixed'!A105&lt;'Adj-Mixed'!$B$10,'E-Mixed'!A105," ")</f>
        <v>123</v>
      </c>
      <c r="C105" s="26">
        <f>IF('E-Mixed'!A105&lt;'Adj-Mixed'!$B$10,'E-Mixed'!C105," ")</f>
        <v>995.82327730192333</v>
      </c>
      <c r="D105" s="28">
        <f>IF('E-Mixed'!A105&lt;'Adj-Mixed'!$B$10,'E-Mixed'!G105," ")</f>
        <v>137.87997243088478</v>
      </c>
      <c r="E105" s="27">
        <f>IF('E-Mixed'!A105&lt;'Adj-Mixed'!$B$10,'E-Mixed'!D105," ")</f>
        <v>0.40107392957780597</v>
      </c>
      <c r="F105" s="92"/>
      <c r="G105" s="92">
        <f t="shared" si="4"/>
        <v>123</v>
      </c>
      <c r="H105" s="28">
        <f>IF('E-Mixed'!A105&lt;'Adj-Mixed'!$B$10,'E-Mixed'!I105," ")</f>
        <v>85.079567119738485</v>
      </c>
      <c r="I105" s="126">
        <f>IF('E-Mixed'!A105&lt;'Adj-Mixed'!$B$10,'E-Mixed'!A105," ")</f>
        <v>123</v>
      </c>
      <c r="J105" s="26">
        <f>IF('E-Mixed'!A105&lt;'Adj-Mixed'!$B$10,'E-Mixed'!J105," ")</f>
        <v>1097.7800540637629</v>
      </c>
      <c r="K105" s="28">
        <f>IF('E-Mixed'!A105&lt;'Adj-Mixed'!$B$10,'E-Mixed'!N105," ")</f>
        <v>171.06831039948415</v>
      </c>
      <c r="L105" s="27">
        <f>IF('E-Mixed'!A105&lt;'Adj-Mixed'!$B$10,'E-Mixed'!K105," ")</f>
        <v>0.35607730818298533</v>
      </c>
      <c r="M105" s="31">
        <f>IF('E-Mixed'!A105&lt;'Adj-Mixed'!$B$10,'E-Mixed'!M105," ")</f>
        <v>3.0829823435410337</v>
      </c>
      <c r="N105">
        <f>IF('E-Mixed'!A105&lt;'Adj-Mixed'!$B$10,1/L105," ")</f>
        <v>2.808378902612092</v>
      </c>
      <c r="O105" s="19"/>
      <c r="P105">
        <f t="shared" si="6"/>
        <v>2.4201907410033439</v>
      </c>
      <c r="Q105">
        <f t="shared" si="7"/>
        <v>6.7968126173309162</v>
      </c>
      <c r="R105" s="106">
        <f t="shared" si="5"/>
        <v>187.56833832927674</v>
      </c>
    </row>
    <row r="106" spans="1:18" x14ac:dyDescent="0.25">
      <c r="A106" s="28">
        <f>IF('E-Mixed'!A106&lt;'Adj-Mixed'!$B$10,'E-Mixed'!B106," ")</f>
        <v>78.668673054145358</v>
      </c>
      <c r="B106" s="126">
        <f>IF('E-Mixed'!A106&lt;'Adj-Mixed'!$B$10,'E-Mixed'!A106," ")</f>
        <v>124</v>
      </c>
      <c r="C106" s="26">
        <f>IF('E-Mixed'!A106&lt;'Adj-Mixed'!$B$10,'E-Mixed'!C106," ")</f>
        <v>996.38161772605827</v>
      </c>
      <c r="D106" s="28">
        <f>IF('E-Mixed'!A106&lt;'Adj-Mixed'!$B$10,'E-Mixed'!G106," ")</f>
        <v>140.38033446105888</v>
      </c>
      <c r="E106" s="27">
        <f>IF('E-Mixed'!A106&lt;'Adj-Mixed'!$B$10,'E-Mixed'!D106," ")</f>
        <v>0.39919907596851817</v>
      </c>
      <c r="F106" s="92"/>
      <c r="G106" s="92">
        <f t="shared" si="4"/>
        <v>124</v>
      </c>
      <c r="H106" s="28">
        <f>IF('E-Mixed'!A106&lt;'Adj-Mixed'!$B$10,'E-Mixed'!I106," ")</f>
        <v>86.17796267958019</v>
      </c>
      <c r="I106" s="126">
        <f>IF('E-Mixed'!A106&lt;'Adj-Mixed'!$B$10,'E-Mixed'!A106," ")</f>
        <v>124</v>
      </c>
      <c r="J106" s="26">
        <f>IF('E-Mixed'!A106&lt;'Adj-Mixed'!$B$10,'E-Mixed'!J106," ")</f>
        <v>1098.3955598417094</v>
      </c>
      <c r="K106" s="28">
        <f>IF('E-Mixed'!A106&lt;'Adj-Mixed'!$B$10,'E-Mixed'!N106," ")</f>
        <v>174.16750877834812</v>
      </c>
      <c r="L106" s="27">
        <f>IF('E-Mixed'!A106&lt;'Adj-Mixed'!$B$10,'E-Mixed'!K106," ")</f>
        <v>0.3544127950416423</v>
      </c>
      <c r="M106" s="31">
        <f>IF('E-Mixed'!A106&lt;'Adj-Mixed'!$B$10,'E-Mixed'!M106," ")</f>
        <v>3.0991983788639788</v>
      </c>
      <c r="N106">
        <f>IF('E-Mixed'!A106&lt;'Adj-Mixed'!$B$10,1/L106," ")</f>
        <v>2.8215685607019445</v>
      </c>
      <c r="O106" s="19"/>
      <c r="P106">
        <f t="shared" si="6"/>
        <v>2.4215476989652833</v>
      </c>
      <c r="Q106">
        <f t="shared" si="7"/>
        <v>6.8325628556405809</v>
      </c>
      <c r="R106" s="106">
        <f t="shared" si="5"/>
        <v>189.98988602824201</v>
      </c>
    </row>
    <row r="107" spans="1:18" x14ac:dyDescent="0.25">
      <c r="A107" s="28">
        <f>IF('E-Mixed'!A107&lt;'Adj-Mixed'!$B$10,'E-Mixed'!B107," ")</f>
        <v>79.665494619353183</v>
      </c>
      <c r="B107" s="126">
        <f>IF('E-Mixed'!A107&lt;'Adj-Mixed'!$B$10,'E-Mixed'!A107," ")</f>
        <v>125</v>
      </c>
      <c r="C107" s="26">
        <f>IF('E-Mixed'!A107&lt;'Adj-Mixed'!$B$10,'E-Mixed'!C107," ")</f>
        <v>996.82156520782428</v>
      </c>
      <c r="D107" s="28">
        <f>IF('E-Mixed'!A107&lt;'Adj-Mixed'!$B$10,'E-Mixed'!G107," ")</f>
        <v>142.89344956370303</v>
      </c>
      <c r="E107" s="27">
        <f>IF('E-Mixed'!A107&lt;'Adj-Mixed'!$B$10,'E-Mixed'!D107," ")</f>
        <v>0.3973451601786106</v>
      </c>
      <c r="F107" s="92"/>
      <c r="G107" s="92">
        <f t="shared" si="4"/>
        <v>125</v>
      </c>
      <c r="H107" s="28">
        <f>IF('E-Mixed'!A107&lt;'Adj-Mixed'!$B$10,'E-Mixed'!I107," ")</f>
        <v>87.276843230666159</v>
      </c>
      <c r="I107" s="126">
        <f>IF('E-Mixed'!A107&lt;'Adj-Mixed'!$B$10,'E-Mixed'!A107," ")</f>
        <v>125</v>
      </c>
      <c r="J107" s="26">
        <f>IF('E-Mixed'!A107&lt;'Adj-Mixed'!$B$10,'E-Mixed'!J107," ")</f>
        <v>1098.8805510859659</v>
      </c>
      <c r="K107" s="28">
        <f>IF('E-Mixed'!A107&lt;'Adj-Mixed'!$B$10,'E-Mixed'!N107," ")</f>
        <v>177.28254208323281</v>
      </c>
      <c r="L107" s="27">
        <f>IF('E-Mixed'!A107&lt;'Adj-Mixed'!$B$10,'E-Mixed'!K107," ")</f>
        <v>0.35276687069855894</v>
      </c>
      <c r="M107" s="31">
        <f>IF('E-Mixed'!A107&lt;'Adj-Mixed'!$B$10,'E-Mixed'!M107," ")</f>
        <v>3.1150333048847005</v>
      </c>
      <c r="N107">
        <f>IF('E-Mixed'!A107&lt;'Adj-Mixed'!$B$10,1/L107," ")</f>
        <v>2.8347333127392935</v>
      </c>
      <c r="O107" s="19"/>
      <c r="P107">
        <f t="shared" si="6"/>
        <v>2.4226169216337694</v>
      </c>
      <c r="Q107">
        <f t="shared" si="7"/>
        <v>6.8674728917611656</v>
      </c>
      <c r="R107" s="106">
        <f t="shared" si="5"/>
        <v>192.4125029498758</v>
      </c>
    </row>
    <row r="108" spans="1:18" x14ac:dyDescent="0.25">
      <c r="A108" s="28">
        <f>IF('E-Mixed'!A108&lt;'Adj-Mixed'!$B$10,'E-Mixed'!B108," ")</f>
        <v>80.662639437602422</v>
      </c>
      <c r="B108" s="126">
        <f>IF('E-Mixed'!A108&lt;'Adj-Mixed'!$B$10,'E-Mixed'!A108," ")</f>
        <v>126</v>
      </c>
      <c r="C108" s="26">
        <f>IF('E-Mixed'!A108&lt;'Adj-Mixed'!$B$10,'E-Mixed'!C108," ")</f>
        <v>997.14481824923951</v>
      </c>
      <c r="D108" s="28">
        <f>IF('E-Mixed'!A108&lt;'Adj-Mixed'!$B$10,'E-Mixed'!G108," ")</f>
        <v>145.41901161306873</v>
      </c>
      <c r="E108" s="27">
        <f>IF('E-Mixed'!A108&lt;'Adj-Mixed'!$B$10,'E-Mixed'!D108," ")</f>
        <v>0.39551101660786625</v>
      </c>
      <c r="F108" s="92"/>
      <c r="G108" s="92">
        <f t="shared" si="4"/>
        <v>126</v>
      </c>
      <c r="H108" s="28">
        <f>IF('E-Mixed'!A108&lt;'Adj-Mixed'!$B$10,'E-Mixed'!I108," ")</f>
        <v>88.376080130864835</v>
      </c>
      <c r="I108" s="126">
        <f>IF('E-Mixed'!A108&lt;'Adj-Mixed'!$B$10,'E-Mixed'!A108," ")</f>
        <v>126</v>
      </c>
      <c r="J108" s="26">
        <f>IF('E-Mixed'!A108&lt;'Adj-Mixed'!$B$10,'E-Mixed'!J108," ")</f>
        <v>1099.2369001986744</v>
      </c>
      <c r="K108" s="28">
        <f>IF('E-Mixed'!A108&lt;'Adj-Mixed'!$B$10,'E-Mixed'!N108," ")</f>
        <v>180.41303588892134</v>
      </c>
      <c r="L108" s="27">
        <f>IF('E-Mixed'!A108&lt;'Adj-Mixed'!$B$10,'E-Mixed'!K108," ")</f>
        <v>0.35113850032260535</v>
      </c>
      <c r="M108" s="31">
        <f>IF('E-Mixed'!A108&lt;'Adj-Mixed'!$B$10,'E-Mixed'!M108," ")</f>
        <v>3.1304938056885256</v>
      </c>
      <c r="N108">
        <f>IF('E-Mixed'!A108&lt;'Adj-Mixed'!$B$10,1/L108," ")</f>
        <v>2.8478791106109385</v>
      </c>
      <c r="O108" s="19"/>
      <c r="P108">
        <f t="shared" si="6"/>
        <v>2.4234025369489225</v>
      </c>
      <c r="Q108">
        <f t="shared" si="7"/>
        <v>6.9015574615783892</v>
      </c>
      <c r="R108" s="106">
        <f t="shared" si="5"/>
        <v>194.83590548682471</v>
      </c>
    </row>
    <row r="109" spans="1:18" x14ac:dyDescent="0.25">
      <c r="A109" s="28">
        <f>IF('E-Mixed'!A109&lt;'Adj-Mixed'!$B$10,'E-Mixed'!B109," ")</f>
        <v>81.659992526152351</v>
      </c>
      <c r="B109" s="126">
        <f>IF('E-Mixed'!A109&lt;'Adj-Mixed'!$B$10,'E-Mixed'!A109," ")</f>
        <v>127</v>
      </c>
      <c r="C109" s="26">
        <f>IF('E-Mixed'!A109&lt;'Adj-Mixed'!$B$10,'E-Mixed'!C109," ")</f>
        <v>997.35308854992866</v>
      </c>
      <c r="D109" s="28">
        <f>IF('E-Mixed'!A109&lt;'Adj-Mixed'!$B$10,'E-Mixed'!G109," ")</f>
        <v>147.95672012663366</v>
      </c>
      <c r="E109" s="27">
        <f>IF('E-Mixed'!A109&lt;'Adj-Mixed'!$B$10,'E-Mixed'!D109," ")</f>
        <v>0.39369552730083035</v>
      </c>
      <c r="F109" s="92"/>
      <c r="G109" s="92">
        <f t="shared" si="4"/>
        <v>127</v>
      </c>
      <c r="H109" s="28">
        <f>IF('E-Mixed'!A109&lt;'Adj-Mixed'!$B$10,'E-Mixed'!I109," ")</f>
        <v>89.475546624995644</v>
      </c>
      <c r="I109" s="126">
        <f>IF('E-Mixed'!A109&lt;'Adj-Mixed'!$B$10,'E-Mixed'!A109," ")</f>
        <v>127</v>
      </c>
      <c r="J109" s="26">
        <f>IF('E-Mixed'!A109&lt;'Adj-Mixed'!$B$10,'E-Mixed'!J109," ")</f>
        <v>1099.4664941308126</v>
      </c>
      <c r="K109" s="28">
        <f>IF('E-Mixed'!A109&lt;'Adj-Mixed'!$B$10,'E-Mixed'!N109," ")</f>
        <v>183.55862253863668</v>
      </c>
      <c r="L109" s="27">
        <f>IF('E-Mixed'!A109&lt;'Adj-Mixed'!$B$10,'E-Mixed'!K109," ")</f>
        <v>0.34952669138213188</v>
      </c>
      <c r="M109" s="31">
        <f>IF('E-Mixed'!A109&lt;'Adj-Mixed'!$B$10,'E-Mixed'!M109," ")</f>
        <v>3.1455866497153533</v>
      </c>
      <c r="N109">
        <f>IF('E-Mixed'!A109&lt;'Adj-Mixed'!$B$10,1/L109," ")</f>
        <v>2.8610118330182579</v>
      </c>
      <c r="O109" s="19"/>
      <c r="P109">
        <f t="shared" si="6"/>
        <v>2.4239087049255539</v>
      </c>
      <c r="Q109">
        <f t="shared" si="7"/>
        <v>6.934831486947969</v>
      </c>
      <c r="R109" s="106">
        <f t="shared" si="5"/>
        <v>197.25981419175025</v>
      </c>
    </row>
    <row r="110" spans="1:18" x14ac:dyDescent="0.25">
      <c r="A110" s="28">
        <f>IF('E-Mixed'!A110&lt;'Adj-Mixed'!$B$10,'E-Mixed'!B110," ")</f>
        <v>82.6574406258176</v>
      </c>
      <c r="B110" s="126">
        <f>IF('E-Mixed'!A110&lt;'Adj-Mixed'!$B$10,'E-Mixed'!A110," ")</f>
        <v>128</v>
      </c>
      <c r="C110" s="26">
        <f>IF('E-Mixed'!A110&lt;'Adj-Mixed'!$B$10,'E-Mixed'!C110," ")</f>
        <v>997.44809966524883</v>
      </c>
      <c r="D110" s="28">
        <f>IF('E-Mixed'!A110&lt;'Adj-Mixed'!$B$10,'E-Mixed'!G110," ")</f>
        <v>150.50628032267335</v>
      </c>
      <c r="E110" s="27">
        <f>IF('E-Mixed'!A110&lt;'Adj-Mixed'!$B$10,'E-Mixed'!D110," ")</f>
        <v>0.39189762078169393</v>
      </c>
      <c r="F110" s="92"/>
      <c r="G110" s="92">
        <f t="shared" si="4"/>
        <v>128</v>
      </c>
      <c r="H110" s="28">
        <f>IF('E-Mixed'!A110&lt;'Adj-Mixed'!$B$10,'E-Mixed'!I110," ")</f>
        <v>90.575117857898576</v>
      </c>
      <c r="I110" s="126">
        <f>IF('E-Mixed'!A110&lt;'Adj-Mixed'!$B$10,'E-Mixed'!A110," ")</f>
        <v>128</v>
      </c>
      <c r="J110" s="26">
        <f>IF('E-Mixed'!A110&lt;'Adj-Mixed'!$B$10,'E-Mixed'!J110," ")</f>
        <v>1099.5712329029323</v>
      </c>
      <c r="K110" s="28">
        <f>IF('E-Mixed'!A110&lt;'Adj-Mixed'!$B$10,'E-Mixed'!N110," ")</f>
        <v>186.71894121221055</v>
      </c>
      <c r="L110" s="27">
        <f>IF('E-Mixed'!A110&lt;'Adj-Mixed'!$B$10,'E-Mixed'!K110," ")</f>
        <v>0.34793049261056719</v>
      </c>
      <c r="M110" s="31">
        <f>IF('E-Mixed'!A110&lt;'Adj-Mixed'!$B$10,'E-Mixed'!M110," ")</f>
        <v>3.1603186735738742</v>
      </c>
      <c r="N110">
        <f>IF('E-Mixed'!A110&lt;'Adj-Mixed'!$B$10,1/L110," ")</f>
        <v>2.8741372809749199</v>
      </c>
      <c r="O110" s="19"/>
      <c r="P110">
        <f t="shared" si="6"/>
        <v>2.4241396143919531</v>
      </c>
      <c r="Q110">
        <f t="shared" si="7"/>
        <v>6.9673100400120793</v>
      </c>
      <c r="R110" s="106">
        <f t="shared" si="5"/>
        <v>199.68395380614223</v>
      </c>
    </row>
    <row r="111" spans="1:18" x14ac:dyDescent="0.25">
      <c r="A111" s="28">
        <f>IF('E-Mixed'!A111&lt;'Adj-Mixed'!$B$10,'E-Mixed'!B111," ")</f>
        <v>83.65487221150957</v>
      </c>
      <c r="B111" s="126">
        <f>IF('E-Mixed'!A111&lt;'Adj-Mixed'!$B$10,'E-Mixed'!A111," ")</f>
        <v>129</v>
      </c>
      <c r="C111" s="26">
        <f>IF('E-Mixed'!A111&lt;'Adj-Mixed'!$B$10,'E-Mixed'!C111," ")</f>
        <v>997.43158569197021</v>
      </c>
      <c r="D111" s="28">
        <f>IF('E-Mixed'!A111&lt;'Adj-Mixed'!$B$10,'E-Mixed'!G111," ")</f>
        <v>153.06740316460971</v>
      </c>
      <c r="E111" s="27">
        <f>IF('E-Mixed'!A111&lt;'Adj-Mixed'!$B$10,'E-Mixed'!D111," ")</f>
        <v>0.39011627090139883</v>
      </c>
      <c r="F111" s="92"/>
      <c r="G111" s="92">
        <f t="shared" si="4"/>
        <v>129</v>
      </c>
      <c r="H111" s="28">
        <f>IF('E-Mixed'!A111&lt;'Adj-Mixed'!$B$10,'E-Mixed'!I111," ")</f>
        <v>91.674670886054855</v>
      </c>
      <c r="I111" s="126">
        <f>IF('E-Mixed'!A111&lt;'Adj-Mixed'!$B$10,'E-Mixed'!A111," ")</f>
        <v>129</v>
      </c>
      <c r="J111" s="26">
        <f>IF('E-Mixed'!A111&lt;'Adj-Mixed'!$B$10,'E-Mixed'!J111," ")</f>
        <v>1099.5530281562751</v>
      </c>
      <c r="K111" s="28">
        <f>IF('E-Mixed'!A111&lt;'Adj-Mixed'!$B$10,'E-Mixed'!N111," ")</f>
        <v>189.89363797886369</v>
      </c>
      <c r="L111" s="27">
        <f>IF('E-Mixed'!A111&lt;'Adj-Mixed'!$B$10,'E-Mixed'!K111," ")</f>
        <v>0.34634899298286692</v>
      </c>
      <c r="M111" s="31">
        <f>IF('E-Mixed'!A111&lt;'Adj-Mixed'!$B$10,'E-Mixed'!M111," ")</f>
        <v>3.1746967666531298</v>
      </c>
      <c r="N111">
        <f>IF('E-Mixed'!A111&lt;'Adj-Mixed'!$B$10,1/L111," ")</f>
        <v>2.8872611737302427</v>
      </c>
      <c r="O111" s="19"/>
      <c r="P111">
        <f t="shared" si="6"/>
        <v>2.4240994797956481</v>
      </c>
      <c r="Q111">
        <f t="shared" si="7"/>
        <v>6.9990083092736537</v>
      </c>
      <c r="R111" s="106">
        <f t="shared" si="5"/>
        <v>202.1080532859379</v>
      </c>
    </row>
    <row r="112" spans="1:18" x14ac:dyDescent="0.25">
      <c r="A112" s="28">
        <f>IF('E-Mixed'!A112&lt;'Adj-Mixed'!$B$10,'E-Mixed'!B112," ")</f>
        <v>84.652177501492829</v>
      </c>
      <c r="B112" s="126">
        <f>IF('E-Mixed'!A112&lt;'Adj-Mixed'!$B$10,'E-Mixed'!A112," ")</f>
        <v>130</v>
      </c>
      <c r="C112" s="26">
        <f>IF('E-Mixed'!A112&lt;'Adj-Mixed'!$B$10,'E-Mixed'!C112," ")</f>
        <v>997.30528998325951</v>
      </c>
      <c r="D112" s="28">
        <f>IF('E-Mixed'!A112&lt;'Adj-Mixed'!$B$10,'E-Mixed'!G112," ")</f>
        <v>155.63980539282198</v>
      </c>
      <c r="E112" s="27">
        <f>IF('E-Mixed'!A112&lt;'Adj-Mixed'!$B$10,'E-Mixed'!D112," ")</f>
        <v>0.38835049569683328</v>
      </c>
      <c r="F112" s="92"/>
      <c r="G112" s="92">
        <f t="shared" si="4"/>
        <v>130</v>
      </c>
      <c r="H112" s="28">
        <f>IF('E-Mixed'!A112&lt;'Adj-Mixed'!$B$10,'E-Mixed'!I112," ")</f>
        <v>92.774084687791046</v>
      </c>
      <c r="I112" s="126">
        <f>IF('E-Mixed'!A112&lt;'Adj-Mixed'!$B$10,'E-Mixed'!A112," ")</f>
        <v>130</v>
      </c>
      <c r="J112" s="26">
        <f>IF('E-Mixed'!A112&lt;'Adj-Mixed'!$B$10,'E-Mixed'!J112," ")</f>
        <v>1099.4138017361897</v>
      </c>
      <c r="K112" s="28">
        <f>IF('E-Mixed'!A112&lt;'Adj-Mixed'!$B$10,'E-Mixed'!N112," ")</f>
        <v>193.08236583539454</v>
      </c>
      <c r="L112" s="27">
        <f>IF('E-Mixed'!A112&lt;'Adj-Mixed'!$B$10,'E-Mixed'!K112," ")</f>
        <v>0.34478132070269701</v>
      </c>
      <c r="M112" s="31">
        <f>IF('E-Mixed'!A112&lt;'Adj-Mixed'!$B$10,'E-Mixed'!M112," ")</f>
        <v>3.1887278565308588</v>
      </c>
      <c r="N112">
        <f>IF('E-Mixed'!A112&lt;'Adj-Mixed'!$B$10,1/L112," ")</f>
        <v>2.9003891451019017</v>
      </c>
      <c r="O112" s="19"/>
      <c r="P112">
        <f t="shared" si="6"/>
        <v>2.4237925380803689</v>
      </c>
      <c r="Q112">
        <f t="shared" si="7"/>
        <v>7.0299415674272892</v>
      </c>
      <c r="R112" s="106">
        <f t="shared" si="5"/>
        <v>204.53184582401826</v>
      </c>
    </row>
    <row r="113" spans="1:18" x14ac:dyDescent="0.25">
      <c r="A113" s="28">
        <f>IF('E-Mixed'!A113&lt;'Adj-Mixed'!$B$10,'E-Mixed'!B113," ")</f>
        <v>85.649248465385369</v>
      </c>
      <c r="B113" s="126">
        <f>IF('E-Mixed'!A113&lt;'Adj-Mixed'!$B$10,'E-Mixed'!A113," ")</f>
        <v>131</v>
      </c>
      <c r="C113" s="26">
        <f>IF('E-Mixed'!A113&lt;'Adj-Mixed'!$B$10,'E-Mixed'!C113," ")</f>
        <v>997.07096389253991</v>
      </c>
      <c r="D113" s="28">
        <f>IF('E-Mixed'!A113&lt;'Adj-Mixed'!$B$10,'E-Mixed'!G113," ")</f>
        <v>158.22320954460301</v>
      </c>
      <c r="E113" s="27">
        <f>IF('E-Mixed'!A113&lt;'Adj-Mixed'!$B$10,'E-Mixed'!D113," ")</f>
        <v>0.38659935626134306</v>
      </c>
      <c r="F113" s="92"/>
      <c r="G113" s="92">
        <f t="shared" si="4"/>
        <v>131</v>
      </c>
      <c r="H113" s="28">
        <f>IF('E-Mixed'!A113&lt;'Adj-Mixed'!$B$10,'E-Mixed'!I113," ")</f>
        <v>93.873240172098434</v>
      </c>
      <c r="I113" s="126">
        <f>IF('E-Mixed'!A113&lt;'Adj-Mixed'!$B$10,'E-Mixed'!A113," ")</f>
        <v>131</v>
      </c>
      <c r="J113" s="26">
        <f>IF('E-Mixed'!A113&lt;'Adj-Mixed'!$B$10,'E-Mixed'!J113," ")</f>
        <v>1099.1554843073827</v>
      </c>
      <c r="K113" s="28">
        <f>IF('E-Mixed'!A113&lt;'Adj-Mixed'!$B$10,'E-Mixed'!N113," ")</f>
        <v>196.2847847305687</v>
      </c>
      <c r="L113" s="27">
        <f>IF('E-Mixed'!A113&lt;'Adj-Mixed'!$B$10,'E-Mixed'!K113," ")</f>
        <v>0.34322664219966187</v>
      </c>
      <c r="M113" s="31">
        <f>IF('E-Mixed'!A113&lt;'Adj-Mixed'!$B$10,'E-Mixed'!M113," ")</f>
        <v>3.2024188951741741</v>
      </c>
      <c r="N113">
        <f>IF('E-Mixed'!A113&lt;'Adj-Mixed'!$B$10,1/L113," ")</f>
        <v>2.9135267402064895</v>
      </c>
      <c r="O113" s="19"/>
      <c r="P113">
        <f t="shared" si="6"/>
        <v>2.4232230456332031</v>
      </c>
      <c r="Q113">
        <f t="shared" si="7"/>
        <v>7.0601251409369477</v>
      </c>
      <c r="R113" s="106">
        <f t="shared" si="5"/>
        <v>206.95506886965148</v>
      </c>
    </row>
    <row r="114" spans="1:18" x14ac:dyDescent="0.25">
      <c r="A114" s="28">
        <f>IF('E-Mixed'!A114&lt;'Adj-Mixed'!$B$10,'E-Mixed'!B114," ")</f>
        <v>86.645978830932449</v>
      </c>
      <c r="B114" s="126">
        <f>IF('E-Mixed'!A114&lt;'Adj-Mixed'!$B$10,'E-Mixed'!A114," ")</f>
        <v>132</v>
      </c>
      <c r="C114" s="26">
        <f>IF('E-Mixed'!A114&lt;'Adj-Mixed'!$B$10,'E-Mixed'!C114," ")</f>
        <v>996.73036554708005</v>
      </c>
      <c r="D114" s="28">
        <f>IF('E-Mixed'!A114&lt;'Adj-Mixed'!$B$10,'E-Mixed'!G114," ")</f>
        <v>160.81734396293845</v>
      </c>
      <c r="E114" s="27">
        <f>IF('E-Mixed'!A114&lt;'Adj-Mixed'!$B$10,'E-Mixed'!D114," ")</f>
        <v>0.38486195562638298</v>
      </c>
      <c r="F114" s="92"/>
      <c r="G114" s="92">
        <f t="shared" si="4"/>
        <v>132</v>
      </c>
      <c r="H114" s="28">
        <f>IF('E-Mixed'!A114&lt;'Adj-Mixed'!$B$10,'E-Mixed'!I114," ")</f>
        <v>94.97202018610038</v>
      </c>
      <c r="I114" s="126">
        <f>IF('E-Mixed'!A114&lt;'Adj-Mixed'!$B$10,'E-Mixed'!A114," ")</f>
        <v>132</v>
      </c>
      <c r="J114" s="26">
        <f>IF('E-Mixed'!A114&lt;'Adj-Mixed'!$B$10,'E-Mixed'!J114," ")</f>
        <v>1098.7800140019426</v>
      </c>
      <c r="K114" s="28">
        <f>IF('E-Mixed'!A114&lt;'Adj-Mixed'!$B$10,'E-Mixed'!N114," ")</f>
        <v>199.50056157649405</v>
      </c>
      <c r="L114" s="27">
        <f>IF('E-Mixed'!A114&lt;'Adj-Mixed'!$B$10,'E-Mixed'!K114," ")</f>
        <v>0.34168416113642441</v>
      </c>
      <c r="M114" s="31">
        <f>IF('E-Mixed'!A114&lt;'Adj-Mixed'!$B$10,'E-Mixed'!M114," ")</f>
        <v>3.2157768459253577</v>
      </c>
      <c r="N114">
        <f>IF('E-Mixed'!A114&lt;'Adj-Mixed'!$B$10,1/L114," ")</f>
        <v>2.9266794125722715</v>
      </c>
      <c r="O114" s="19"/>
      <c r="P114">
        <f t="shared" si="6"/>
        <v>2.4223952753039972</v>
      </c>
      <c r="Q114">
        <f t="shared" si="7"/>
        <v>7.0895743813445486</v>
      </c>
      <c r="R114" s="106">
        <f t="shared" si="5"/>
        <v>209.37746414495547</v>
      </c>
    </row>
    <row r="115" spans="1:18" x14ac:dyDescent="0.25">
      <c r="A115" s="28">
        <f>IF('E-Mixed'!A115&lt;'Adj-Mixed'!$B$10,'E-Mixed'!B115," ")</f>
        <v>87.642264089583904</v>
      </c>
      <c r="B115" s="126">
        <f>IF('E-Mixed'!A115&lt;'Adj-Mixed'!$B$10,'E-Mixed'!A115," ")</f>
        <v>133</v>
      </c>
      <c r="C115" s="26">
        <f>IF('E-Mixed'!A115&lt;'Adj-Mixed'!$B$10,'E-Mixed'!C115," ")</f>
        <v>996.28525865145434</v>
      </c>
      <c r="D115" s="28">
        <f>IF('E-Mixed'!A115&lt;'Adj-Mixed'!$B$10,'E-Mixed'!G115," ")</f>
        <v>163.42194279477803</v>
      </c>
      <c r="E115" s="27">
        <f>IF('E-Mixed'!A115&lt;'Adj-Mixed'!$B$10,'E-Mixed'!D115," ")</f>
        <v>0.38313743765403774</v>
      </c>
      <c r="F115" s="92"/>
      <c r="G115" s="92">
        <f t="shared" si="4"/>
        <v>133</v>
      </c>
      <c r="H115" s="28">
        <f>IF('E-Mixed'!A115&lt;'Adj-Mixed'!$B$10,'E-Mixed'!I115," ")</f>
        <v>96.07030952120067</v>
      </c>
      <c r="I115" s="126">
        <f>IF('E-Mixed'!A115&lt;'Adj-Mixed'!$B$10,'E-Mixed'!A115," ")</f>
        <v>133</v>
      </c>
      <c r="J115" s="26">
        <f>IF('E-Mixed'!A115&lt;'Adj-Mixed'!$B$10,'E-Mixed'!J115," ")</f>
        <v>1098.2893351002926</v>
      </c>
      <c r="K115" s="28">
        <f>IF('E-Mixed'!A115&lt;'Adj-Mixed'!$B$10,'E-Mixed'!N115," ")</f>
        <v>202.72937024775641</v>
      </c>
      <c r="L115" s="27">
        <f>IF('E-Mixed'!A115&lt;'Adj-Mixed'!$B$10,'E-Mixed'!K115," ")</f>
        <v>0.34015311742547499</v>
      </c>
      <c r="M115" s="31">
        <f>IF('E-Mixed'!A115&lt;'Adj-Mixed'!$B$10,'E-Mixed'!M115," ")</f>
        <v>3.2288086712623461</v>
      </c>
      <c r="N115">
        <f>IF('E-Mixed'!A115&lt;'Adj-Mixed'!$B$10,1/L115," ")</f>
        <v>2.9398525216194513</v>
      </c>
      <c r="O115" s="19"/>
      <c r="P115">
        <f t="shared" si="6"/>
        <v>2.4213135134973558</v>
      </c>
      <c r="Q115">
        <f t="shared" si="7"/>
        <v>7.1183046382864559</v>
      </c>
      <c r="R115" s="106">
        <f t="shared" si="5"/>
        <v>211.79877765845282</v>
      </c>
    </row>
    <row r="116" spans="1:18" x14ac:dyDescent="0.25">
      <c r="A116" s="28">
        <f>IF('E-Mixed'!A116&lt;'Adj-Mixed'!$B$10,'E-Mixed'!B116," ")</f>
        <v>88.638001500905048</v>
      </c>
      <c r="B116" s="126">
        <f>IF('E-Mixed'!A116&lt;'Adj-Mixed'!$B$10,'E-Mixed'!A116," ")</f>
        <v>134</v>
      </c>
      <c r="C116" s="26">
        <f>IF('E-Mixed'!A116&lt;'Adj-Mixed'!$B$10,'E-Mixed'!C116," ")</f>
        <v>995.73741132114435</v>
      </c>
      <c r="D116" s="28">
        <f>IF('E-Mixed'!A116&lt;'Adj-Mixed'!$B$10,'E-Mixed'!G116," ")</f>
        <v>166.03674597945809</v>
      </c>
      <c r="E116" s="27">
        <f>IF('E-Mixed'!A116&lt;'Adj-Mixed'!$B$10,'E-Mixed'!D116," ")</f>
        <v>0.38142498594023277</v>
      </c>
      <c r="F116" s="92"/>
      <c r="G116" s="92">
        <f t="shared" si="4"/>
        <v>134</v>
      </c>
      <c r="H116" s="28">
        <f>IF('E-Mixed'!A116&lt;'Adj-Mixed'!$B$10,'E-Mixed'!I116," ")</f>
        <v>97.167994917946046</v>
      </c>
      <c r="I116" s="126">
        <f>IF('E-Mixed'!A116&lt;'Adj-Mixed'!$B$10,'E-Mixed'!A116," ")</f>
        <v>134</v>
      </c>
      <c r="J116" s="26">
        <f>IF('E-Mixed'!A116&lt;'Adj-Mixed'!$B$10,'E-Mixed'!J116," ")</f>
        <v>1097.685396745371</v>
      </c>
      <c r="K116" s="28">
        <f>IF('E-Mixed'!A116&lt;'Adj-Mixed'!$B$10,'E-Mixed'!N116," ")</f>
        <v>205.97089156907793</v>
      </c>
      <c r="L116" s="27">
        <f>IF('E-Mixed'!A116&lt;'Adj-Mixed'!$B$10,'E-Mixed'!K116," ")</f>
        <v>0.3386327862553915</v>
      </c>
      <c r="M116" s="31">
        <f>IF('E-Mixed'!A116&lt;'Adj-Mixed'!$B$10,'E-Mixed'!M116," ")</f>
        <v>3.2415213213215393</v>
      </c>
      <c r="N116">
        <f>IF('E-Mixed'!A116&lt;'Adj-Mixed'!$B$10,1/L116," ")</f>
        <v>2.9530513304928951</v>
      </c>
      <c r="O116" s="19"/>
      <c r="P116">
        <f t="shared" si="6"/>
        <v>2.4199820573378936</v>
      </c>
      <c r="Q116">
        <f t="shared" si="7"/>
        <v>7.1463312341905993</v>
      </c>
      <c r="R116" s="106">
        <f t="shared" si="5"/>
        <v>214.21875971579075</v>
      </c>
    </row>
    <row r="117" spans="1:18" x14ac:dyDescent="0.25">
      <c r="A117" s="28">
        <f>IF('E-Mixed'!A117&lt;'Adj-Mixed'!$B$10,'E-Mixed'!B117," ")</f>
        <v>89.633090095852069</v>
      </c>
      <c r="B117" s="126">
        <f>IF('E-Mixed'!A117&lt;'Adj-Mixed'!$B$10,'E-Mixed'!A117," ")</f>
        <v>135</v>
      </c>
      <c r="C117" s="26">
        <f>IF('E-Mixed'!A117&lt;'Adj-Mixed'!$B$10,'E-Mixed'!C117," ")</f>
        <v>995.08859494702051</v>
      </c>
      <c r="D117" s="28">
        <f>IF('E-Mixed'!A117&lt;'Adj-Mixed'!$B$10,'E-Mixed'!G117," ")</f>
        <v>168.66149922792206</v>
      </c>
      <c r="E117" s="27">
        <f>IF('E-Mixed'!A117&lt;'Adj-Mixed'!$B$10,'E-Mixed'!D117," ")</f>
        <v>0.37972382272875171</v>
      </c>
      <c r="F117" s="92"/>
      <c r="G117" s="92">
        <f t="shared" si="4"/>
        <v>135</v>
      </c>
      <c r="H117" s="28">
        <f>IF('E-Mixed'!A117&lt;'Adj-Mixed'!$B$10,'E-Mixed'!I117," ")</f>
        <v>98.264965069636901</v>
      </c>
      <c r="I117" s="126">
        <f>IF('E-Mixed'!A117&lt;'Adj-Mixed'!$B$10,'E-Mixed'!A117," ")</f>
        <v>135</v>
      </c>
      <c r="J117" s="26">
        <f>IF('E-Mixed'!A117&lt;'Adj-Mixed'!$B$10,'E-Mixed'!J117," ")</f>
        <v>1096.970151690854</v>
      </c>
      <c r="K117" s="28">
        <f>IF('E-Mixed'!A117&lt;'Adj-Mixed'!$B$10,'E-Mixed'!N117," ")</f>
        <v>209.22481329224624</v>
      </c>
      <c r="L117" s="27">
        <f>IF('E-Mixed'!A117&lt;'Adj-Mixed'!$B$10,'E-Mixed'!K117," ")</f>
        <v>0.33712247712669363</v>
      </c>
      <c r="M117" s="31">
        <f>IF('E-Mixed'!A117&lt;'Adj-Mixed'!$B$10,'E-Mixed'!M117," ")</f>
        <v>3.2539217231682915</v>
      </c>
      <c r="N117">
        <f>IF('E-Mixed'!A117&lt;'Adj-Mixed'!$B$10,1/L117," ")</f>
        <v>2.9662810042303738</v>
      </c>
      <c r="O117" s="19"/>
      <c r="P117">
        <f t="shared" si="6"/>
        <v>2.4184052119105397</v>
      </c>
      <c r="Q117">
        <f t="shared" si="7"/>
        <v>7.173669440621965</v>
      </c>
      <c r="R117" s="106">
        <f t="shared" si="5"/>
        <v>216.63716492770126</v>
      </c>
    </row>
    <row r="118" spans="1:18" x14ac:dyDescent="0.25">
      <c r="A118" s="28">
        <f>IF('E-Mixed'!A118&lt;'Adj-Mixed'!$B$10,'E-Mixed'!B118," ")</f>
        <v>90.627430678941849</v>
      </c>
      <c r="B118" s="126">
        <f>IF('E-Mixed'!A118&lt;'Adj-Mixed'!$B$10,'E-Mixed'!A118," ")</f>
        <v>136</v>
      </c>
      <c r="C118" s="26">
        <f>IF('E-Mixed'!A118&lt;'Adj-Mixed'!$B$10,'E-Mixed'!C118," ")</f>
        <v>994.34058308978024</v>
      </c>
      <c r="D118" s="28">
        <f>IF('E-Mixed'!A118&lt;'Adj-Mixed'!$B$10,'E-Mixed'!G118," ")</f>
        <v>171.29595399337163</v>
      </c>
      <c r="E118" s="27">
        <f>IF('E-Mixed'!A118&lt;'Adj-Mixed'!$B$10,'E-Mixed'!D118," ")</f>
        <v>0.37803320783567451</v>
      </c>
      <c r="F118" s="92"/>
      <c r="G118" s="92">
        <f t="shared" si="4"/>
        <v>136</v>
      </c>
      <c r="H118" s="28">
        <f>IF('E-Mixed'!A118&lt;'Adj-Mixed'!$B$10,'E-Mixed'!I118," ")</f>
        <v>99.361110624719302</v>
      </c>
      <c r="I118" s="126">
        <f>IF('E-Mixed'!A118&lt;'Adj-Mixed'!$B$10,'E-Mixed'!A118," ")</f>
        <v>136</v>
      </c>
      <c r="J118" s="26">
        <f>IF('E-Mixed'!A118&lt;'Adj-Mixed'!$B$10,'E-Mixed'!J118," ")</f>
        <v>1096.145555082401</v>
      </c>
      <c r="K118" s="28">
        <f>IF('E-Mixed'!A118&lt;'Adj-Mixed'!$B$10,'E-Mixed'!N118," ")</f>
        <v>212.49083006304434</v>
      </c>
      <c r="L118" s="27">
        <f>IF('E-Mixed'!A118&lt;'Adj-Mixed'!$B$10,'E-Mixed'!K118," ")</f>
        <v>0.33562153289694852</v>
      </c>
      <c r="M118" s="31">
        <f>IF('E-Mixed'!A118&lt;'Adj-Mixed'!$B$10,'E-Mixed'!M118," ")</f>
        <v>3.2660167707981023</v>
      </c>
      <c r="N118">
        <f>IF('E-Mixed'!A118&lt;'Adj-Mixed'!$B$10,1/L118," ")</f>
        <v>2.9795466082536688</v>
      </c>
      <c r="O118" s="19"/>
      <c r="P118">
        <f t="shared" si="6"/>
        <v>2.4165872875736443</v>
      </c>
      <c r="Q118">
        <f t="shared" si="7"/>
        <v>7.2003344562389842</v>
      </c>
      <c r="R118" s="106">
        <f t="shared" si="5"/>
        <v>219.05375221527493</v>
      </c>
    </row>
    <row r="119" spans="1:18" x14ac:dyDescent="0.25">
      <c r="A119" s="28">
        <f>IF('E-Mixed'!A119&lt;'Adj-Mixed'!$B$10,'E-Mixed'!B119," ")</f>
        <v>91.620925829347712</v>
      </c>
      <c r="B119" s="126">
        <f>IF('E-Mixed'!A119&lt;'Adj-Mixed'!$B$10,'E-Mixed'!A119," ")</f>
        <v>137</v>
      </c>
      <c r="C119" s="26">
        <f>IF('E-Mixed'!A119&lt;'Adj-Mixed'!$B$10,'E-Mixed'!C119," ")</f>
        <v>993.49515040586311</v>
      </c>
      <c r="D119" s="28">
        <f>IF('E-Mixed'!A119&lt;'Adj-Mixed'!$B$10,'E-Mixed'!G119," ")</f>
        <v>173.93986743396513</v>
      </c>
      <c r="E119" s="27">
        <f>IF('E-Mixed'!A119&lt;'Adj-Mixed'!$B$10,'E-Mixed'!D119," ")</f>
        <v>0.37635243758489501</v>
      </c>
      <c r="F119" s="92"/>
      <c r="G119" s="92">
        <f t="shared" si="4"/>
        <v>137</v>
      </c>
      <c r="H119" s="28">
        <f>IF('E-Mixed'!A119&lt;'Adj-Mixed'!$B$10,'E-Mixed'!I119," ")</f>
        <v>100.45632418799291</v>
      </c>
      <c r="I119" s="126">
        <f>IF('E-Mixed'!A119&lt;'Adj-Mixed'!$B$10,'E-Mixed'!A119," ")</f>
        <v>137</v>
      </c>
      <c r="J119" s="26">
        <f>IF('E-Mixed'!A119&lt;'Adj-Mixed'!$B$10,'E-Mixed'!J119," ")</f>
        <v>1095.213563273601</v>
      </c>
      <c r="K119" s="28">
        <f>IF('E-Mixed'!A119&lt;'Adj-Mixed'!$B$10,'E-Mixed'!N119," ")</f>
        <v>215.76864337889398</v>
      </c>
      <c r="L119" s="27">
        <f>IF('E-Mixed'!A119&lt;'Adj-Mixed'!$B$10,'E-Mixed'!K119," ")</f>
        <v>0.33412932883571322</v>
      </c>
      <c r="M119" s="31">
        <f>IF('E-Mixed'!A119&lt;'Adj-Mixed'!$B$10,'E-Mixed'!M119," ")</f>
        <v>3.2778133158496314</v>
      </c>
      <c r="N119">
        <f>IF('E-Mixed'!A119&lt;'Adj-Mixed'!$B$10,1/L119," ")</f>
        <v>2.9928531071622455</v>
      </c>
      <c r="O119" s="19"/>
      <c r="P119">
        <f t="shared" si="6"/>
        <v>2.4145325973485865</v>
      </c>
      <c r="Q119">
        <f t="shared" si="7"/>
        <v>7.2263413863192438</v>
      </c>
      <c r="R119" s="106">
        <f t="shared" si="5"/>
        <v>221.46828481262352</v>
      </c>
    </row>
    <row r="120" spans="1:18" x14ac:dyDescent="0.25">
      <c r="A120" s="28">
        <f>IF('E-Mixed'!A120&lt;'Adj-Mixed'!$B$10,'E-Mixed'!B120," ")</f>
        <v>92.613479900951688</v>
      </c>
      <c r="B120" s="126">
        <f>IF('E-Mixed'!A120&lt;'Adj-Mixed'!$B$10,'E-Mixed'!A120," ")</f>
        <v>138</v>
      </c>
      <c r="C120" s="26">
        <f>IF('E-Mixed'!A120&lt;'Adj-Mixed'!$B$10,'E-Mixed'!C120," ")</f>
        <v>992.55407160397624</v>
      </c>
      <c r="D120" s="28">
        <f>IF('E-Mixed'!A120&lt;'Adj-Mixed'!$B$10,'E-Mixed'!G120," ")</f>
        <v>176.59300236816341</v>
      </c>
      <c r="E120" s="27">
        <f>IF('E-Mixed'!A120&lt;'Adj-Mixed'!$B$10,'E-Mixed'!D120," ")</f>
        <v>0.37468084375442429</v>
      </c>
      <c r="F120" s="92"/>
      <c r="G120" s="92">
        <f t="shared" si="4"/>
        <v>138</v>
      </c>
      <c r="H120" s="28">
        <f>IF('E-Mixed'!A120&lt;'Adj-Mixed'!$B$10,'E-Mixed'!I120," ")</f>
        <v>101.55050032066856</v>
      </c>
      <c r="I120" s="126">
        <f>IF('E-Mixed'!A120&lt;'Adj-Mixed'!$B$10,'E-Mixed'!A120," ")</f>
        <v>138</v>
      </c>
      <c r="J120" s="26">
        <f>IF('E-Mixed'!A120&lt;'Adj-Mixed'!$B$10,'E-Mixed'!J120," ")</f>
        <v>1094.1761326756614</v>
      </c>
      <c r="K120" s="28">
        <f>IF('E-Mixed'!A120&lt;'Adj-Mixed'!$B$10,'E-Mixed'!N120," ")</f>
        <v>219.05796153790413</v>
      </c>
      <c r="L120" s="27">
        <f>IF('E-Mixed'!A120&lt;'Adj-Mixed'!$B$10,'E-Mixed'!K120," ")</f>
        <v>0.33264527168905234</v>
      </c>
      <c r="M120" s="31">
        <f>IF('E-Mixed'!A120&lt;'Adj-Mixed'!$B$10,'E-Mixed'!M120," ")</f>
        <v>3.2893181590101399</v>
      </c>
      <c r="N120">
        <f>IF('E-Mixed'!A120&lt;'Adj-Mixed'!$B$10,1/L120," ")</f>
        <v>3.0062053638170227</v>
      </c>
      <c r="O120" s="19"/>
      <c r="P120">
        <f t="shared" si="6"/>
        <v>2.4122454543837706</v>
      </c>
      <c r="Q120">
        <f t="shared" si="7"/>
        <v>7.2517052238117223</v>
      </c>
      <c r="R120" s="106">
        <f t="shared" si="5"/>
        <v>223.88053026700726</v>
      </c>
    </row>
    <row r="121" spans="1:18" x14ac:dyDescent="0.25">
      <c r="A121" s="28">
        <f>IF('E-Mixed'!A121&lt;'Adj-Mixed'!$B$10,'E-Mixed'!B121," ")</f>
        <v>93.604999021384103</v>
      </c>
      <c r="B121" s="126">
        <f>IF('E-Mixed'!A121&lt;'Adj-Mixed'!$B$10,'E-Mixed'!A121," ")</f>
        <v>139</v>
      </c>
      <c r="C121" s="26">
        <f>IF('E-Mixed'!A121&lt;'Adj-Mixed'!$B$10,'E-Mixed'!C121," ")</f>
        <v>991.51912043241452</v>
      </c>
      <c r="D121" s="28">
        <f>IF('E-Mixed'!A121&lt;'Adj-Mixed'!$B$10,'E-Mixed'!G121," ")</f>
        <v>179.25512722330407</v>
      </c>
      <c r="E121" s="27">
        <f>IF('E-Mixed'!A121&lt;'Adj-Mixed'!$B$10,'E-Mixed'!D121," ")</f>
        <v>0.37301779253381456</v>
      </c>
      <c r="F121" s="92"/>
      <c r="G121" s="92">
        <f t="shared" si="4"/>
        <v>139</v>
      </c>
      <c r="H121" s="28">
        <f>IF('E-Mixed'!A121&lt;'Adj-Mixed'!$B$10,'E-Mixed'!I121," ")</f>
        <v>102.64353553930961</v>
      </c>
      <c r="I121" s="126">
        <f>IF('E-Mixed'!A121&lt;'Adj-Mixed'!$B$10,'E-Mixed'!A121," ")</f>
        <v>139</v>
      </c>
      <c r="J121" s="26">
        <f>IF('E-Mixed'!A121&lt;'Adj-Mixed'!$B$10,'E-Mixed'!J121," ")</f>
        <v>1093.035218641046</v>
      </c>
      <c r="K121" s="28">
        <f>IF('E-Mixed'!A121&lt;'Adj-Mixed'!$B$10,'E-Mixed'!N121," ")</f>
        <v>222.35849957999551</v>
      </c>
      <c r="L121" s="27">
        <f>IF('E-Mixed'!A121&lt;'Adj-Mixed'!$B$10,'E-Mixed'!K121," ")</f>
        <v>0.33116879875392913</v>
      </c>
      <c r="M121" s="31">
        <f>IF('E-Mixed'!A121&lt;'Adj-Mixed'!$B$10,'E-Mixed'!M121," ")</f>
        <v>3.3005380420913752</v>
      </c>
      <c r="N121">
        <f>IF('E-Mixed'!A121&lt;'Adj-Mixed'!$B$10,1/L121," ")</f>
        <v>3.0196081386973828</v>
      </c>
      <c r="O121" s="19"/>
      <c r="P121">
        <f t="shared" si="6"/>
        <v>2.4097301694934727</v>
      </c>
      <c r="Q121">
        <f t="shared" si="7"/>
        <v>7.276440831867113</v>
      </c>
      <c r="R121" s="106">
        <f t="shared" si="5"/>
        <v>226.29026043650074</v>
      </c>
    </row>
    <row r="122" spans="1:18" x14ac:dyDescent="0.25">
      <c r="A122" s="28">
        <f>IF('E-Mixed'!A122&lt;'Adj-Mixed'!$B$10,'E-Mixed'!B122," ")</f>
        <v>94.595391090081876</v>
      </c>
      <c r="B122" s="126">
        <f>IF('E-Mixed'!A122&lt;'Adj-Mixed'!$B$10,'E-Mixed'!A122," ")</f>
        <v>140</v>
      </c>
      <c r="C122" s="26">
        <f>IF('E-Mixed'!A122&lt;'Adj-Mixed'!$B$10,'E-Mixed'!C122," ")</f>
        <v>990.39206869777274</v>
      </c>
      <c r="D122" s="28">
        <f>IF('E-Mixed'!A122&lt;'Adj-Mixed'!$B$10,'E-Mixed'!G122," ")</f>
        <v>181.92601597796684</v>
      </c>
      <c r="E122" s="27">
        <f>IF('E-Mixed'!A122&lt;'Adj-Mixed'!$B$10,'E-Mixed'!D122," ")</f>
        <v>0.37136268349308893</v>
      </c>
      <c r="F122" s="92"/>
      <c r="G122" s="92">
        <f t="shared" si="4"/>
        <v>140</v>
      </c>
      <c r="H122" s="28">
        <f>IF('E-Mixed'!A122&lt;'Adj-Mixed'!$B$10,'E-Mixed'!I122," ")</f>
        <v>103.73532831369133</v>
      </c>
      <c r="I122" s="126">
        <f>IF('E-Mixed'!A122&lt;'Adj-Mixed'!$B$10,'E-Mixed'!A122," ")</f>
        <v>140</v>
      </c>
      <c r="J122" s="26">
        <f>IF('E-Mixed'!A122&lt;'Adj-Mixed'!$B$10,'E-Mixed'!J122," ")</f>
        <v>1091.7927743817193</v>
      </c>
      <c r="K122" s="28">
        <f>IF('E-Mixed'!A122&lt;'Adj-Mixed'!$B$10,'E-Mixed'!N122," ")</f>
        <v>225.66997922074978</v>
      </c>
      <c r="L122" s="27">
        <f>IF('E-Mixed'!A122&lt;'Adj-Mixed'!$B$10,'E-Mixed'!K122," ")</f>
        <v>0.32969937696281126</v>
      </c>
      <c r="M122" s="31">
        <f>IF('E-Mixed'!A122&lt;'Adj-Mixed'!$B$10,'E-Mixed'!M122," ")</f>
        <v>3.3114796407542775</v>
      </c>
      <c r="N122">
        <f>IF('E-Mixed'!A122&lt;'Adj-Mixed'!$B$10,1/L122," ")</f>
        <v>3.0330660895146182</v>
      </c>
      <c r="O122" s="19"/>
      <c r="P122">
        <f t="shared" si="6"/>
        <v>2.4069910487729747</v>
      </c>
      <c r="Q122">
        <f t="shared" si="7"/>
        <v>7.3005629277985369</v>
      </c>
      <c r="R122" s="106">
        <f t="shared" si="5"/>
        <v>228.69725148527371</v>
      </c>
    </row>
    <row r="123" spans="1:18" x14ac:dyDescent="0.25">
      <c r="A123" s="28">
        <f>IF('E-Mixed'!A123&lt;'Adj-Mixed'!$B$10,'E-Mixed'!B123," ")</f>
        <v>95.584565775395973</v>
      </c>
      <c r="B123" s="126">
        <f>IF('E-Mixed'!A123&lt;'Adj-Mixed'!$B$10,'E-Mixed'!A123," ")</f>
        <v>141</v>
      </c>
      <c r="C123" s="26">
        <f>IF('E-Mixed'!A123&lt;'Adj-Mixed'!$B$10,'E-Mixed'!C123," ")</f>
        <v>989.17468531409725</v>
      </c>
      <c r="D123" s="28">
        <f>IF('E-Mixed'!A123&lt;'Adj-Mixed'!$B$10,'E-Mixed'!G123," ")</f>
        <v>184.60544809867159</v>
      </c>
      <c r="E123" s="27">
        <f>IF('E-Mixed'!A123&lt;'Adj-Mixed'!$B$10,'E-Mixed'!D123," ")</f>
        <v>0.36971494856325676</v>
      </c>
      <c r="F123" s="92"/>
      <c r="G123" s="92">
        <f t="shared" si="4"/>
        <v>141</v>
      </c>
      <c r="H123" s="28">
        <f>IF('E-Mixed'!A123&lt;'Adj-Mixed'!$B$10,'E-Mixed'!I123," ")</f>
        <v>104.82577906361227</v>
      </c>
      <c r="I123" s="126">
        <f>IF('E-Mixed'!A123&lt;'Adj-Mixed'!$B$10,'E-Mixed'!A123," ")</f>
        <v>141</v>
      </c>
      <c r="J123" s="26">
        <f>IF('E-Mixed'!A123&lt;'Adj-Mixed'!$B$10,'E-Mixed'!J123," ")</f>
        <v>1090.4507499209449</v>
      </c>
      <c r="K123" s="28">
        <f>IF('E-Mixed'!A123&lt;'Adj-Mixed'!$B$10,'E-Mixed'!N123," ")</f>
        <v>228.99212877860779</v>
      </c>
      <c r="L123" s="27">
        <f>IF('E-Mixed'!A123&lt;'Adj-Mixed'!$B$10,'E-Mixed'!K123," ")</f>
        <v>0.32823650197856252</v>
      </c>
      <c r="M123" s="31">
        <f>IF('E-Mixed'!A123&lt;'Adj-Mixed'!$B$10,'E-Mixed'!M123," ")</f>
        <v>3.3221495578580207</v>
      </c>
      <c r="N123">
        <f>IF('E-Mixed'!A123&lt;'Adj-Mixed'!$B$10,1/L123," ")</f>
        <v>3.0465837710679451</v>
      </c>
      <c r="O123" s="19"/>
      <c r="P123">
        <f t="shared" si="6"/>
        <v>2.4040323912876773</v>
      </c>
      <c r="Q123">
        <f t="shared" si="7"/>
        <v>7.3240860684187012</v>
      </c>
      <c r="R123" s="106">
        <f t="shared" si="5"/>
        <v>231.10128387656141</v>
      </c>
    </row>
    <row r="124" spans="1:18" x14ac:dyDescent="0.25">
      <c r="A124" s="28">
        <f>IF('E-Mixed'!A124&lt;'Adj-Mixed'!$B$10,'E-Mixed'!B124," ")</f>
        <v>96.572434510779274</v>
      </c>
      <c r="B124" s="126">
        <f>IF('E-Mixed'!A124&lt;'Adj-Mixed'!$B$10,'E-Mixed'!A124," ")</f>
        <v>142</v>
      </c>
      <c r="C124" s="26">
        <f>IF('E-Mixed'!A124&lt;'Adj-Mixed'!$B$10,'E-Mixed'!C124," ")</f>
        <v>987.86873538330155</v>
      </c>
      <c r="D124" s="28">
        <f>IF('E-Mixed'!A124&lt;'Adj-Mixed'!$B$10,'E-Mixed'!G124," ")</f>
        <v>187.29320847143072</v>
      </c>
      <c r="E124" s="27">
        <f>IF('E-Mixed'!A124&lt;'Adj-Mixed'!$B$10,'E-Mixed'!D124," ")</f>
        <v>0.36807405102896368</v>
      </c>
      <c r="F124" s="92"/>
      <c r="G124" s="92">
        <f t="shared" si="4"/>
        <v>142</v>
      </c>
      <c r="H124" s="28">
        <f>IF('E-Mixed'!A124&lt;'Adj-Mixed'!$B$10,'E-Mixed'!I124," ")</f>
        <v>105.91479015469183</v>
      </c>
      <c r="I124" s="126">
        <f>IF('E-Mixed'!A124&lt;'Adj-Mixed'!$B$10,'E-Mixed'!A124," ")</f>
        <v>142</v>
      </c>
      <c r="J124" s="26">
        <f>IF('E-Mixed'!A124&lt;'Adj-Mixed'!$B$10,'E-Mixed'!J124," ")</f>
        <v>1089.0110910795511</v>
      </c>
      <c r="K124" s="28">
        <f>IF('E-Mixed'!A124&lt;'Adj-Mixed'!$B$10,'E-Mixed'!N124," ")</f>
        <v>232.32468309601825</v>
      </c>
      <c r="L124" s="27">
        <f>IF('E-Mixed'!A124&lt;'Adj-Mixed'!$B$10,'E-Mixed'!K124," ")</f>
        <v>0.32677969730010775</v>
      </c>
      <c r="M124" s="31">
        <f>IF('E-Mixed'!A124&lt;'Adj-Mixed'!$B$10,'E-Mixed'!M124," ")</f>
        <v>3.3325543174104411</v>
      </c>
      <c r="N124">
        <f>IF('E-Mixed'!A124&lt;'Adj-Mixed'!$B$10,1/L124," ")</f>
        <v>3.0601656353259319</v>
      </c>
      <c r="O124" s="19"/>
      <c r="P124">
        <f t="shared" si="6"/>
        <v>2.4008584868381959</v>
      </c>
      <c r="Q124">
        <f t="shared" si="7"/>
        <v>7.347024636702864</v>
      </c>
      <c r="R124" s="106">
        <f t="shared" si="5"/>
        <v>233.5021423633996</v>
      </c>
    </row>
    <row r="125" spans="1:18" x14ac:dyDescent="0.25">
      <c r="A125" s="28">
        <f>IF('E-Mixed'!A125&lt;'Adj-Mixed'!$B$10,'E-Mixed'!B125," ")</f>
        <v>97.55891049008531</v>
      </c>
      <c r="B125" s="126">
        <f>IF('E-Mixed'!A125&lt;'Adj-Mixed'!$B$10,'E-Mixed'!A125," ")</f>
        <v>143</v>
      </c>
      <c r="C125" s="26">
        <f>IF('E-Mixed'!A125&lt;'Adj-Mixed'!$B$10,'E-Mixed'!C125," ")</f>
        <v>986.47597930603581</v>
      </c>
      <c r="D125" s="28">
        <f>IF('E-Mixed'!A125&lt;'Adj-Mixed'!$B$10,'E-Mixed'!G125," ")</f>
        <v>189.98908732865567</v>
      </c>
      <c r="E125" s="27">
        <f>IF('E-Mixed'!A125&lt;'Adj-Mixed'!$B$10,'E-Mixed'!D125," ")</f>
        <v>0.36643948453337011</v>
      </c>
      <c r="F125" s="92"/>
      <c r="G125" s="92">
        <f t="shared" si="4"/>
        <v>143</v>
      </c>
      <c r="H125" s="28">
        <f>IF('E-Mixed'!A125&lt;'Adj-Mixed'!$B$10,'E-Mixed'!I125," ")</f>
        <v>107.0022658931876</v>
      </c>
      <c r="I125" s="126">
        <f>IF('E-Mixed'!A125&lt;'Adj-Mixed'!$B$10,'E-Mixed'!A125," ")</f>
        <v>143</v>
      </c>
      <c r="J125" s="26">
        <f>IF('E-Mixed'!A125&lt;'Adj-Mixed'!$B$10,'E-Mixed'!J125," ")</f>
        <v>1087.4757384957666</v>
      </c>
      <c r="K125" s="28">
        <f>IF('E-Mixed'!A125&lt;'Adj-Mixed'!$B$10,'E-Mixed'!N125," ")</f>
        <v>235.66738345511354</v>
      </c>
      <c r="L125" s="27">
        <f>IF('E-Mixed'!A125&lt;'Adj-Mixed'!$B$10,'E-Mixed'!K125," ")</f>
        <v>0.32532851337895452</v>
      </c>
      <c r="M125" s="31">
        <f>IF('E-Mixed'!A125&lt;'Adj-Mixed'!$B$10,'E-Mixed'!M125," ")</f>
        <v>3.3427003590952848</v>
      </c>
      <c r="N125">
        <f>IF('E-Mixed'!A125&lt;'Adj-Mixed'!$B$10,1/L125," ")</f>
        <v>3.0738160317204151</v>
      </c>
      <c r="O125" s="19"/>
      <c r="P125">
        <f t="shared" si="6"/>
        <v>2.3974736137994705</v>
      </c>
      <c r="Q125">
        <f t="shared" si="7"/>
        <v>7.3693928297234912</v>
      </c>
      <c r="R125" s="106">
        <f t="shared" si="5"/>
        <v>235.89961597719909</v>
      </c>
    </row>
    <row r="126" spans="1:18" x14ac:dyDescent="0.25">
      <c r="A126" s="28">
        <f>IF('E-Mixed'!A126&lt;'Adj-Mixed'!$B$10,'E-Mixed'!B126," ")</f>
        <v>98.543908662008747</v>
      </c>
      <c r="B126" s="126">
        <f>IF('E-Mixed'!A126&lt;'Adj-Mixed'!$B$10,'E-Mixed'!A126," ")</f>
        <v>144</v>
      </c>
      <c r="C126" s="26">
        <f>IF('E-Mixed'!A126&lt;'Adj-Mixed'!$B$10,'E-Mixed'!C126," ")</f>
        <v>984.99817192343642</v>
      </c>
      <c r="D126" s="28">
        <f>IF('E-Mixed'!A126&lt;'Adj-Mixed'!$B$10,'E-Mixed'!G126," ")</f>
        <v>192.69288017189621</v>
      </c>
      <c r="E126" s="27">
        <f>IF('E-Mixed'!A126&lt;'Adj-Mixed'!$B$10,'E-Mixed'!D126," ")</f>
        <v>0.3648107720959391</v>
      </c>
      <c r="F126" s="92"/>
      <c r="G126" s="92">
        <f t="shared" si="4"/>
        <v>144</v>
      </c>
      <c r="H126" s="28">
        <f>IF('E-Mixed'!A126&lt;'Adj-Mixed'!$B$10,'E-Mixed'!I126," ")</f>
        <v>108.0881125198667</v>
      </c>
      <c r="I126" s="126">
        <f>IF('E-Mixed'!A126&lt;'Adj-Mixed'!$B$10,'E-Mixed'!A126," ")</f>
        <v>144</v>
      </c>
      <c r="J126" s="26">
        <f>IF('E-Mixed'!A126&lt;'Adj-Mixed'!$B$10,'E-Mixed'!J126," ")</f>
        <v>1085.8466266790983</v>
      </c>
      <c r="K126" s="28">
        <f>IF('E-Mixed'!A126&lt;'Adj-Mixed'!$B$10,'E-Mixed'!N126," ")</f>
        <v>239.01997748846415</v>
      </c>
      <c r="L126" s="27">
        <f>IF('E-Mixed'!A126&lt;'Adj-Mixed'!$B$10,'E-Mixed'!K126," ")</f>
        <v>0.32388252674717555</v>
      </c>
      <c r="M126" s="31">
        <f>IF('E-Mixed'!A126&lt;'Adj-Mixed'!$B$10,'E-Mixed'!M126," ")</f>
        <v>3.3525940333506044</v>
      </c>
      <c r="N126">
        <f>IF('E-Mixed'!A126&lt;'Adj-Mixed'!$B$10,1/L126," ")</f>
        <v>3.0875392076356296</v>
      </c>
      <c r="O126" s="19"/>
      <c r="P126">
        <f t="shared" si="6"/>
        <v>2.3938820370349227</v>
      </c>
      <c r="Q126">
        <f t="shared" si="7"/>
        <v>7.3912046477999711</v>
      </c>
      <c r="R126" s="106">
        <f t="shared" si="5"/>
        <v>238.29349801423399</v>
      </c>
    </row>
    <row r="127" spans="1:18" x14ac:dyDescent="0.25">
      <c r="A127" s="28">
        <f>IF('E-Mixed'!A127&lt;'Adj-Mixed'!$B$10,'E-Mixed'!B127," ")</f>
        <v>99.527345723697806</v>
      </c>
      <c r="B127" s="126">
        <f>IF('E-Mixed'!A127&lt;'Adj-Mixed'!$B$10,'E-Mixed'!A127," ")</f>
        <v>145</v>
      </c>
      <c r="C127" s="26">
        <f>IF('E-Mixed'!A127&lt;'Adj-Mixed'!$B$10,'E-Mixed'!C127," ")</f>
        <v>983.43706168905953</v>
      </c>
      <c r="D127" s="28">
        <f>IF('E-Mixed'!A127&lt;'Adj-Mixed'!$B$10,'E-Mixed'!G127," ")</f>
        <v>195.40438769086879</v>
      </c>
      <c r="E127" s="27">
        <f>IF('E-Mixed'!A127&lt;'Adj-Mixed'!$B$10,'E-Mixed'!D127," ")</f>
        <v>0.36318746514326894</v>
      </c>
      <c r="F127" s="92"/>
      <c r="G127" s="92">
        <f t="shared" si="4"/>
        <v>145</v>
      </c>
      <c r="H127" s="28">
        <f>IF('E-Mixed'!A127&lt;'Adj-Mixed'!$B$10,'E-Mixed'!I127," ")</f>
        <v>109.17223820296418</v>
      </c>
      <c r="I127" s="126">
        <f>IF('E-Mixed'!A127&lt;'Adj-Mixed'!$B$10,'E-Mixed'!A127," ")</f>
        <v>145</v>
      </c>
      <c r="J127" s="26">
        <f>IF('E-Mixed'!A127&lt;'Adj-Mixed'!$B$10,'E-Mixed'!J127," ")</f>
        <v>1084.1256830974851</v>
      </c>
      <c r="K127" s="28">
        <f>IF('E-Mixed'!A127&lt;'Adj-Mixed'!$B$10,'E-Mixed'!N127," ")</f>
        <v>242.38221908543787</v>
      </c>
      <c r="L127" s="27">
        <f>IF('E-Mixed'!A127&lt;'Adj-Mixed'!$B$10,'E-Mixed'!K127," ")</f>
        <v>0.32244133915697248</v>
      </c>
      <c r="M127" s="31">
        <f>IF('E-Mixed'!A127&lt;'Adj-Mixed'!$B$10,'E-Mixed'!M127," ")</f>
        <v>3.3622415969737229</v>
      </c>
      <c r="N127">
        <f>IF('E-Mixed'!A127&lt;'Adj-Mixed'!$B$10,1/L127," ")</f>
        <v>3.1013393090802635</v>
      </c>
      <c r="O127" s="19"/>
      <c r="P127">
        <f t="shared" si="6"/>
        <v>2.3900880058839724</v>
      </c>
      <c r="Q127">
        <f t="shared" si="7"/>
        <v>7.4124738848092235</v>
      </c>
      <c r="R127" s="106">
        <f t="shared" si="5"/>
        <v>240.68358602011796</v>
      </c>
    </row>
    <row r="128" spans="1:18" x14ac:dyDescent="0.25">
      <c r="A128" s="28">
        <f>IF('E-Mixed'!A128&lt;'Adj-Mixed'!$B$10,'E-Mixed'!B128," ")</f>
        <v>100.50914011356888</v>
      </c>
      <c r="B128" s="126">
        <f>IF('E-Mixed'!A128&lt;'Adj-Mixed'!$B$10,'E-Mixed'!A128," ")</f>
        <v>146</v>
      </c>
      <c r="C128" s="26">
        <f>IF('E-Mixed'!A128&lt;'Adj-Mixed'!$B$10,'E-Mixed'!C128," ")</f>
        <v>981.79438987106948</v>
      </c>
      <c r="D128" s="28">
        <f>IF('E-Mixed'!A128&lt;'Adj-Mixed'!$B$10,'E-Mixed'!G128," ")</f>
        <v>198.12341567920922</v>
      </c>
      <c r="E128" s="27">
        <f>IF('E-Mixed'!A128&lt;'Adj-Mixed'!$B$10,'E-Mixed'!D128," ")</f>
        <v>0.36156914255340139</v>
      </c>
      <c r="F128" s="92"/>
      <c r="G128" s="92">
        <f t="shared" si="4"/>
        <v>146</v>
      </c>
      <c r="H128" s="28">
        <f>IF('E-Mixed'!A128&lt;'Adj-Mixed'!$B$10,'E-Mixed'!I128," ")</f>
        <v>110.25455303026199</v>
      </c>
      <c r="I128" s="126">
        <f>IF('E-Mixed'!A128&lt;'Adj-Mixed'!$B$10,'E-Mixed'!A128," ")</f>
        <v>146</v>
      </c>
      <c r="J128" s="26">
        <f>IF('E-Mixed'!A128&lt;'Adj-Mixed'!$B$10,'E-Mixed'!J128," ")</f>
        <v>1082.3148272978015</v>
      </c>
      <c r="K128" s="28">
        <f>IF('E-Mixed'!A128&lt;'Adj-Mixed'!$B$10,'E-Mixed'!N128," ")</f>
        <v>245.75386829466618</v>
      </c>
      <c r="L128" s="27">
        <f>IF('E-Mixed'!A128&lt;'Adj-Mixed'!$B$10,'E-Mixed'!K128," ")</f>
        <v>0.32100457673220367</v>
      </c>
      <c r="M128" s="31">
        <f>IF('E-Mixed'!A128&lt;'Adj-Mixed'!$B$10,'E-Mixed'!M128," ")</f>
        <v>3.3716492092283055</v>
      </c>
      <c r="N128">
        <f>IF('E-Mixed'!A128&lt;'Adj-Mixed'!$B$10,1/L128," ")</f>
        <v>3.1152203815282191</v>
      </c>
      <c r="O128" s="19"/>
      <c r="P128">
        <f t="shared" si="6"/>
        <v>2.3860957522230839</v>
      </c>
      <c r="Q128">
        <f t="shared" si="7"/>
        <v>7.4332141196032584</v>
      </c>
      <c r="R128" s="106">
        <f t="shared" si="5"/>
        <v>243.06968177234106</v>
      </c>
    </row>
    <row r="129" spans="1:18" x14ac:dyDescent="0.25">
      <c r="A129" s="28">
        <f>IF('E-Mixed'!A129&lt;'Adj-Mixed'!$B$10,'E-Mixed'!B129," ")</f>
        <v>101.48921200335343</v>
      </c>
      <c r="B129" s="126">
        <f>IF('E-Mixed'!A129&lt;'Adj-Mixed'!$B$10,'E-Mixed'!A129," ")</f>
        <v>147</v>
      </c>
      <c r="C129" s="26">
        <f>IF('E-Mixed'!A129&lt;'Adj-Mixed'!$B$10,'E-Mixed'!C129," ")</f>
        <v>980.07188978455417</v>
      </c>
      <c r="D129" s="28">
        <f>IF('E-Mixed'!A129&lt;'Adj-Mixed'!$B$10,'E-Mixed'!G129," ")</f>
        <v>200.84977494736194</v>
      </c>
      <c r="E129" s="27">
        <f>IF('E-Mixed'!A129&lt;'Adj-Mixed'!$B$10,'E-Mixed'!D129," ")</f>
        <v>0.35995540971420914</v>
      </c>
      <c r="F129" s="92"/>
      <c r="G129" s="92">
        <f t="shared" si="4"/>
        <v>147</v>
      </c>
      <c r="H129" s="28">
        <f>IF('E-Mixed'!A129&lt;'Adj-Mixed'!$B$10,'E-Mixed'!I129," ")</f>
        <v>111.33496900032156</v>
      </c>
      <c r="I129" s="126">
        <f>IF('E-Mixed'!A129&lt;'Adj-Mixed'!$B$10,'E-Mixed'!A129," ")</f>
        <v>147</v>
      </c>
      <c r="J129" s="26">
        <f>IF('E-Mixed'!A129&lt;'Adj-Mixed'!$B$10,'E-Mixed'!J129," ")</f>
        <v>1080.4159700595746</v>
      </c>
      <c r="K129" s="28">
        <f>IF('E-Mixed'!A129&lt;'Adj-Mixed'!$B$10,'E-Mixed'!N129," ")</f>
        <v>249.13469122309314</v>
      </c>
      <c r="L129" s="27">
        <f>IF('E-Mixed'!A129&lt;'Adj-Mixed'!$B$10,'E-Mixed'!K129," ")</f>
        <v>0.31957188913241147</v>
      </c>
      <c r="M129" s="31">
        <f>IF('E-Mixed'!A129&lt;'Adj-Mixed'!$B$10,'E-Mixed'!M129," ")</f>
        <v>3.3808229284269582</v>
      </c>
      <c r="N129">
        <f>IF('E-Mixed'!A129&lt;'Adj-Mixed'!$B$10,1/L129," ")</f>
        <v>3.1291863709128052</v>
      </c>
      <c r="O129" s="19"/>
      <c r="P129">
        <f t="shared" si="6"/>
        <v>2.3819094886000278</v>
      </c>
      <c r="Q129">
        <f t="shared" si="7"/>
        <v>7.4534387084750957</v>
      </c>
      <c r="R129" s="106">
        <f t="shared" si="5"/>
        <v>245.45159126094109</v>
      </c>
    </row>
    <row r="130" spans="1:18" x14ac:dyDescent="0.25">
      <c r="A130" s="28">
        <f>IF('E-Mixed'!A130&lt;'Adj-Mixed'!$B$10,'E-Mixed'!B130," ")</f>
        <v>102.46748328940697</v>
      </c>
      <c r="B130" s="126">
        <f>IF('E-Mixed'!A130&lt;'Adj-Mixed'!$B$10,'E-Mixed'!A130," ")</f>
        <v>148</v>
      </c>
      <c r="C130" s="26">
        <f>IF('E-Mixed'!A130&lt;'Adj-Mixed'!$B$10,'E-Mixed'!C130," ")</f>
        <v>978.27128605354119</v>
      </c>
      <c r="D130" s="28">
        <f>IF('E-Mixed'!A130&lt;'Adj-Mixed'!$B$10,'E-Mixed'!G130," ")</f>
        <v>203.58328123299739</v>
      </c>
      <c r="E130" s="27">
        <f>IF('E-Mixed'!A130&lt;'Adj-Mixed'!$B$10,'E-Mixed'!D130," ")</f>
        <v>0.35834589759605417</v>
      </c>
      <c r="F130" s="92"/>
      <c r="G130" s="92">
        <f t="shared" si="4"/>
        <v>148</v>
      </c>
      <c r="H130" s="28">
        <f>IF('E-Mixed'!A130&lt;'Adj-Mixed'!$B$10,'E-Mixed'!I130," ")</f>
        <v>112.41340001290301</v>
      </c>
      <c r="I130" s="126">
        <f>IF('E-Mixed'!A130&lt;'Adj-Mixed'!$B$10,'E-Mixed'!A130," ")</f>
        <v>148</v>
      </c>
      <c r="J130" s="26">
        <f>IF('E-Mixed'!A130&lt;'Adj-Mixed'!$B$10,'E-Mixed'!J130," ")</f>
        <v>1078.431012581442</v>
      </c>
      <c r="K130" s="28">
        <f>IF('E-Mixed'!A130&lt;'Adj-Mixed'!$B$10,'E-Mixed'!N130," ")</f>
        <v>252.52445993205896</v>
      </c>
      <c r="L130" s="27">
        <f>IF('E-Mixed'!A130&lt;'Adj-Mixed'!$B$10,'E-Mixed'!K130," ")</f>
        <v>0.31814294872951915</v>
      </c>
      <c r="M130" s="31">
        <f>IF('E-Mixed'!A130&lt;'Adj-Mixed'!$B$10,'E-Mixed'!M130," ")</f>
        <v>3.3897687089658226</v>
      </c>
      <c r="N130">
        <f>IF('E-Mixed'!A130&lt;'Adj-Mixed'!$B$10,1/L130," ")</f>
        <v>3.1432411247630276</v>
      </c>
      <c r="O130" s="19"/>
      <c r="P130">
        <f t="shared" si="6"/>
        <v>2.3775334064403286</v>
      </c>
      <c r="Q130">
        <f t="shared" si="7"/>
        <v>7.4731607786211711</v>
      </c>
      <c r="R130" s="106">
        <f t="shared" si="5"/>
        <v>247.82912466738145</v>
      </c>
    </row>
    <row r="131" spans="1:18" x14ac:dyDescent="0.25">
      <c r="A131" s="28">
        <f>IF('E-Mixed'!A131&lt;'Adj-Mixed'!$B$10,'E-Mixed'!B131," ")</f>
        <v>103.44387758330897</v>
      </c>
      <c r="B131" s="126">
        <f>IF('E-Mixed'!A131&lt;'Adj-Mixed'!$B$10,'E-Mixed'!A131," ")</f>
        <v>149</v>
      </c>
      <c r="C131" s="26">
        <f>IF('E-Mixed'!A131&lt;'Adj-Mixed'!$B$10,'E-Mixed'!C131," ")</f>
        <v>976.39429390200405</v>
      </c>
      <c r="D131" s="28">
        <f>IF('E-Mixed'!A131&lt;'Adj-Mixed'!$B$10,'E-Mixed'!G131," ")</f>
        <v>206.32375510932695</v>
      </c>
      <c r="E131" s="27">
        <f>IF('E-Mixed'!A131&lt;'Adj-Mixed'!$B$10,'E-Mixed'!D131," ")</f>
        <v>0.35674026183905788</v>
      </c>
      <c r="F131" s="92"/>
      <c r="G131" s="92">
        <f t="shared" si="4"/>
        <v>149</v>
      </c>
      <c r="H131" s="28">
        <f>IF('E-Mixed'!A131&lt;'Adj-Mixed'!$B$10,'E-Mixed'!I131," ")</f>
        <v>113.48976185860258</v>
      </c>
      <c r="I131" s="126">
        <f>IF('E-Mixed'!A131&lt;'Adj-Mixed'!$B$10,'E-Mixed'!A131," ")</f>
        <v>149</v>
      </c>
      <c r="J131" s="26">
        <f>IF('E-Mixed'!A131&lt;'Adj-Mixed'!$B$10,'E-Mixed'!J131," ")</f>
        <v>1076.3618456995687</v>
      </c>
      <c r="K131" s="28">
        <f>IF('E-Mixed'!A131&lt;'Adj-Mixed'!$B$10,'E-Mixed'!N131," ")</f>
        <v>255.92295233084457</v>
      </c>
      <c r="L131" s="27">
        <f>IF('E-Mixed'!A131&lt;'Adj-Mixed'!$B$10,'E-Mixed'!K131," ")</f>
        <v>0.31671744979750072</v>
      </c>
      <c r="M131" s="31">
        <f>IF('E-Mixed'!A131&lt;'Adj-Mixed'!$B$10,'E-Mixed'!M131," ")</f>
        <v>3.3984923987856086</v>
      </c>
      <c r="N131">
        <f>IF('E-Mixed'!A131&lt;'Adj-Mixed'!$B$10,1/L131," ")</f>
        <v>3.1573883934698541</v>
      </c>
      <c r="O131" s="19"/>
      <c r="P131">
        <f t="shared" si="6"/>
        <v>2.3729716743241704</v>
      </c>
      <c r="Q131">
        <f t="shared" si="7"/>
        <v>7.4923932225438632</v>
      </c>
      <c r="R131" s="106">
        <f t="shared" si="5"/>
        <v>250.20209634170558</v>
      </c>
    </row>
    <row r="132" spans="1:18" x14ac:dyDescent="0.25">
      <c r="A132" s="28">
        <f>IF('E-Mixed'!A132&lt;'Adj-Mixed'!$B$10,'E-Mixed'!B132," ")</f>
        <v>104.41832020178349</v>
      </c>
      <c r="B132" s="126">
        <f>IF('E-Mixed'!A132&lt;'Adj-Mixed'!$B$10,'E-Mixed'!A132," ")</f>
        <v>150</v>
      </c>
      <c r="C132" s="26">
        <f>IF('E-Mixed'!A132&lt;'Adj-Mixed'!$B$10,'E-Mixed'!C132," ")</f>
        <v>974.4426184745123</v>
      </c>
      <c r="D132" s="28">
        <f>IF('E-Mixed'!A132&lt;'Adj-Mixed'!$B$10,'E-Mixed'!G132," ")</f>
        <v>209.07102189166358</v>
      </c>
      <c r="E132" s="27">
        <f>IF('E-Mixed'!A132&lt;'Adj-Mixed'!$B$10,'E-Mixed'!D132," ")</f>
        <v>0.35513818185563001</v>
      </c>
      <c r="F132" s="92"/>
      <c r="G132" s="92">
        <f t="shared" ref="G132:G185" si="8">IFERROR(I132,"")</f>
        <v>150</v>
      </c>
      <c r="H132" s="28">
        <f>IF('E-Mixed'!A132&lt;'Adj-Mixed'!$B$10,'E-Mixed'!I132," ")</f>
        <v>114.56397220774132</v>
      </c>
      <c r="I132" s="126">
        <f>IF('E-Mixed'!A132&lt;'Adj-Mixed'!$B$10,'E-Mixed'!A132," ")</f>
        <v>150</v>
      </c>
      <c r="J132" s="26">
        <f>IF('E-Mixed'!A132&lt;'Adj-Mixed'!$B$10,'E-Mixed'!J132," ")</f>
        <v>1074.2103491387415</v>
      </c>
      <c r="K132" s="28">
        <f>IF('E-Mixed'!A132&lt;'Adj-Mixed'!$B$10,'E-Mixed'!N132," ")</f>
        <v>259.32995206808027</v>
      </c>
      <c r="L132" s="27">
        <f>IF('E-Mixed'!A132&lt;'Adj-Mixed'!$B$10,'E-Mixed'!K132," ")</f>
        <v>0.31529510771559738</v>
      </c>
      <c r="M132" s="31">
        <f>IF('E-Mixed'!A132&lt;'Adj-Mixed'!$B$10,'E-Mixed'!M132," ")</f>
        <v>3.4069997372356986</v>
      </c>
      <c r="N132">
        <f>IF('E-Mixed'!A132&lt;'Adj-Mixed'!$B$10,1/L132," ")</f>
        <v>3.1716318316680652</v>
      </c>
      <c r="O132" s="19"/>
      <c r="P132">
        <f t="shared" si="6"/>
        <v>2.368228436335341</v>
      </c>
      <c r="Q132">
        <f t="shared" si="7"/>
        <v>7.5111486933426557</v>
      </c>
      <c r="R132" s="106">
        <f t="shared" ref="R132:R185" si="9">IFERROR(IF(H132&lt;0,"",CONVERT(H132,"kg", "lbm")),"")</f>
        <v>252.57032477804091</v>
      </c>
    </row>
    <row r="133" spans="1:18" x14ac:dyDescent="0.25">
      <c r="A133" s="28">
        <f>IF('E-Mixed'!A133&lt;'Adj-Mixed'!$B$10,'E-Mixed'!B133," ")</f>
        <v>105.39073815596873</v>
      </c>
      <c r="B133" s="126">
        <f>IF('E-Mixed'!A133&lt;'Adj-Mixed'!$B$10,'E-Mixed'!A133," ")</f>
        <v>151</v>
      </c>
      <c r="C133" s="26">
        <f>IF('E-Mixed'!A133&lt;'Adj-Mixed'!$B$10,'E-Mixed'!C133," ")</f>
        <v>972.41795418524646</v>
      </c>
      <c r="D133" s="28">
        <f>IF('E-Mixed'!A133&lt;'Adj-Mixed'!$B$10,'E-Mixed'!G133," ")</f>
        <v>211.82491154255604</v>
      </c>
      <c r="E133" s="27">
        <f>IF('E-Mixed'!A133&lt;'Adj-Mixed'!$B$10,'E-Mixed'!D133," ")</f>
        <v>0.35353935994843744</v>
      </c>
      <c r="F133" s="92"/>
      <c r="G133" s="92">
        <f t="shared" si="8"/>
        <v>151</v>
      </c>
      <c r="H133" s="28">
        <f>IF('E-Mixed'!A133&lt;'Adj-Mixed'!$B$10,'E-Mixed'!I133," ")</f>
        <v>115.63595059853606</v>
      </c>
      <c r="I133" s="126">
        <f>IF('E-Mixed'!A133&lt;'Adj-Mixed'!$B$10,'E-Mixed'!A133," ")</f>
        <v>151</v>
      </c>
      <c r="J133" s="26">
        <f>IF('E-Mixed'!A133&lt;'Adj-Mixed'!$B$10,'E-Mixed'!J133," ")</f>
        <v>1071.9783907947337</v>
      </c>
      <c r="K133" s="28">
        <f>IF('E-Mixed'!A133&lt;'Adj-Mixed'!$B$10,'E-Mixed'!N133," ")</f>
        <v>262.74524842139635</v>
      </c>
      <c r="L133" s="27">
        <f>IF('E-Mixed'!A133&lt;'Adj-Mixed'!$B$10,'E-Mixed'!K133," ")</f>
        <v>0.31387565818524177</v>
      </c>
      <c r="M133" s="31">
        <f>IF('E-Mixed'!A133&lt;'Adj-Mixed'!$B$10,'E-Mixed'!M133," ")</f>
        <v>3.4152963533160583</v>
      </c>
      <c r="N133">
        <f>IF('E-Mixed'!A133&lt;'Adj-Mixed'!$B$10,1/L133," ")</f>
        <v>3.1859749997236944</v>
      </c>
      <c r="O133" s="19"/>
      <c r="P133">
        <f t="shared" ref="P133:P185" si="10">IFERROR(IF(J133&lt;0,"",CONVERT(J133,"g", "lbm")),"")</f>
        <v>2.3633078104791174</v>
      </c>
      <c r="Q133">
        <f t="shared" ref="Q133:Q185" si="11">IFERROR(IF(M133&lt;0,"",CONVERT(M133,"kg", "lbm")),"")</f>
        <v>7.5294396008382112</v>
      </c>
      <c r="R133" s="106">
        <f t="shared" si="9"/>
        <v>254.93363258852008</v>
      </c>
    </row>
    <row r="134" spans="1:18" x14ac:dyDescent="0.25">
      <c r="A134" s="28">
        <f>IF('E-Mixed'!A134&lt;'Adj-Mixed'!$B$10,'E-Mixed'!B134," ")</f>
        <v>106.36106014006434</v>
      </c>
      <c r="B134" s="126">
        <f>IF('E-Mixed'!A134&lt;'Adj-Mixed'!$B$10,'E-Mixed'!A134," ")</f>
        <v>152</v>
      </c>
      <c r="C134" s="26">
        <f>IF('E-Mixed'!A134&lt;'Adj-Mixed'!$B$10,'E-Mixed'!C134," ")</f>
        <v>970.32198409560522</v>
      </c>
      <c r="D134" s="28">
        <f>IF('E-Mixed'!A134&lt;'Adj-Mixed'!$B$10,'E-Mixed'!G134," ")</f>
        <v>214.58525857580358</v>
      </c>
      <c r="E134" s="27">
        <f>IF('E-Mixed'!A134&lt;'Adj-Mixed'!$B$10,'E-Mixed'!D134," ")</f>
        <v>0.35194352044418359</v>
      </c>
      <c r="F134" s="92"/>
      <c r="G134" s="92">
        <f t="shared" si="8"/>
        <v>152</v>
      </c>
      <c r="H134" s="28">
        <f>IF('E-Mixed'!A134&lt;'Adj-Mixed'!$B$10,'E-Mixed'!I134," ")</f>
        <v>116.70561842458424</v>
      </c>
      <c r="I134" s="126">
        <f>IF('E-Mixed'!A134&lt;'Adj-Mixed'!$B$10,'E-Mixed'!A134," ")</f>
        <v>152</v>
      </c>
      <c r="J134" s="26">
        <f>IF('E-Mixed'!A134&lt;'Adj-Mixed'!$B$10,'E-Mixed'!J134," ")</f>
        <v>1069.667826048189</v>
      </c>
      <c r="K134" s="28">
        <f>IF('E-Mixed'!A134&lt;'Adj-Mixed'!$B$10,'E-Mixed'!N134," ")</f>
        <v>266.16863618567191</v>
      </c>
      <c r="L134" s="27">
        <f>IF('E-Mixed'!A134&lt;'Adj-Mixed'!$B$10,'E-Mixed'!K134," ")</f>
        <v>0.31245885646101862</v>
      </c>
      <c r="M134" s="31">
        <f>IF('E-Mixed'!A134&lt;'Adj-Mixed'!$B$10,'E-Mixed'!M134," ")</f>
        <v>3.4233877642755743</v>
      </c>
      <c r="N134">
        <f>IF('E-Mixed'!A134&lt;'Adj-Mixed'!$B$10,1/L134," ")</f>
        <v>3.2004213653158424</v>
      </c>
      <c r="O134" s="19"/>
      <c r="P134">
        <f t="shared" si="10"/>
        <v>2.3582138871696388</v>
      </c>
      <c r="Q134">
        <f t="shared" si="11"/>
        <v>7.5472781084822351</v>
      </c>
      <c r="R134" s="106">
        <f t="shared" si="9"/>
        <v>257.29184647568968</v>
      </c>
    </row>
    <row r="135" spans="1:18" x14ac:dyDescent="0.25">
      <c r="A135" s="28">
        <f>IF('E-Mixed'!A135&lt;'Adj-Mixed'!$B$10,'E-Mixed'!B135," ")</f>
        <v>107.32921651938358</v>
      </c>
      <c r="B135" s="126">
        <f>IF('E-Mixed'!A135&lt;'Adj-Mixed'!$B$10,'E-Mixed'!A135," ")</f>
        <v>153</v>
      </c>
      <c r="C135" s="26">
        <f>IF('E-Mixed'!A135&lt;'Adj-Mixed'!$B$10,'E-Mixed'!C135," ")</f>
        <v>968.15637931923959</v>
      </c>
      <c r="D135" s="28">
        <f>IF('E-Mixed'!A135&lt;'Adj-Mixed'!$B$10,'E-Mixed'!G135," ")</f>
        <v>217.35190195963835</v>
      </c>
      <c r="E135" s="27">
        <f>IF('E-Mixed'!A135&lt;'Adj-Mixed'!$B$10,'E-Mixed'!D135," ")</f>
        <v>0.35035040884347296</v>
      </c>
      <c r="F135" s="92"/>
      <c r="G135" s="92">
        <f t="shared" si="8"/>
        <v>153</v>
      </c>
      <c r="H135" s="28">
        <f>IF('E-Mixed'!A135&lt;'Adj-Mixed'!$B$10,'E-Mixed'!I135," ")</f>
        <v>117.77289892169298</v>
      </c>
      <c r="I135" s="126">
        <f>IF('E-Mixed'!A135&lt;'Adj-Mixed'!$B$10,'E-Mixed'!A135," ")</f>
        <v>153</v>
      </c>
      <c r="J135" s="26">
        <f>IF('E-Mixed'!A135&lt;'Adj-Mixed'!$B$10,'E-Mixed'!J135," ")</f>
        <v>1067.2804971087405</v>
      </c>
      <c r="K135" s="28">
        <f>IF('E-Mixed'!A135&lt;'Adj-Mixed'!$B$10,'E-Mixed'!N135," ")</f>
        <v>269.5999155602139</v>
      </c>
      <c r="L135" s="27">
        <f>IF('E-Mixed'!A135&lt;'Adj-Mixed'!$B$10,'E-Mixed'!K135," ")</f>
        <v>0.31104447659590678</v>
      </c>
      <c r="M135" s="31">
        <f>IF('E-Mixed'!A135&lt;'Adj-Mixed'!$B$10,'E-Mixed'!M135," ")</f>
        <v>3.4312793745419801</v>
      </c>
      <c r="N135">
        <f>IF('E-Mixed'!A135&lt;'Adj-Mixed'!$B$10,1/L135," ")</f>
        <v>3.2149743051028334</v>
      </c>
      <c r="O135" s="19"/>
      <c r="P135">
        <f t="shared" si="10"/>
        <v>2.3529507277839361</v>
      </c>
      <c r="Q135">
        <f t="shared" si="11"/>
        <v>7.5646761309983681</v>
      </c>
      <c r="R135" s="106">
        <f t="shared" si="9"/>
        <v>259.64479720347367</v>
      </c>
    </row>
    <row r="136" spans="1:18" x14ac:dyDescent="0.25">
      <c r="A136" s="28">
        <f>IF('E-Mixed'!A136&lt;'Adj-Mixed'!$B$10,'E-Mixed'!B136," ")</f>
        <v>108.29513931783916</v>
      </c>
      <c r="B136" s="126">
        <f>IF('E-Mixed'!A136&lt;'Adj-Mixed'!$B$10,'E-Mixed'!A136," ")</f>
        <v>154</v>
      </c>
      <c r="C136" s="26">
        <f>IF('E-Mixed'!A136&lt;'Adj-Mixed'!$B$10,'E-Mixed'!C136," ")</f>
        <v>965.92279845557982</v>
      </c>
      <c r="D136" s="28">
        <f>IF('E-Mixed'!A136&lt;'Adj-Mixed'!$B$10,'E-Mixed'!G136," ")</f>
        <v>220.12468501934345</v>
      </c>
      <c r="E136" s="27">
        <f>IF('E-Mixed'!A136&lt;'Adj-Mixed'!$B$10,'E-Mixed'!D136," ")</f>
        <v>0.34875979098739379</v>
      </c>
      <c r="F136" s="92"/>
      <c r="G136" s="92">
        <f t="shared" si="8"/>
        <v>154</v>
      </c>
      <c r="H136" s="28">
        <f>IF('E-Mixed'!A136&lt;'Adj-Mixed'!$B$10,'E-Mixed'!I136," ")</f>
        <v>118.83771715408352</v>
      </c>
      <c r="I136" s="126">
        <f>IF('E-Mixed'!A136&lt;'Adj-Mixed'!$B$10,'E-Mixed'!A136," ")</f>
        <v>154</v>
      </c>
      <c r="J136" s="26">
        <f>IF('E-Mixed'!A136&lt;'Adj-Mixed'!$B$10,'E-Mixed'!J136," ")</f>
        <v>1064.8182323905392</v>
      </c>
      <c r="K136" s="28">
        <f>IF('E-Mixed'!A136&lt;'Adj-Mixed'!$B$10,'E-Mixed'!N136," ")</f>
        <v>273.0388920351773</v>
      </c>
      <c r="L136" s="27">
        <f>IF('E-Mixed'!A136&lt;'Adj-Mixed'!$B$10,'E-Mixed'!K136," ")</f>
        <v>0.30963231070136293</v>
      </c>
      <c r="M136" s="31">
        <f>IF('E-Mixed'!A136&lt;'Adj-Mixed'!$B$10,'E-Mixed'!M136," ")</f>
        <v>3.43897647496338</v>
      </c>
      <c r="N136">
        <f>IF('E-Mixed'!A136&lt;'Adj-Mixed'!$B$10,1/L136," ")</f>
        <v>3.2296371064597627</v>
      </c>
      <c r="O136" s="19"/>
      <c r="P136">
        <f t="shared" si="10"/>
        <v>2.3475223632852096</v>
      </c>
      <c r="Q136">
        <f t="shared" si="11"/>
        <v>7.5816453327100275</v>
      </c>
      <c r="R136" s="106">
        <f t="shared" si="9"/>
        <v>261.99231956675885</v>
      </c>
    </row>
    <row r="137" spans="1:18" x14ac:dyDescent="0.25">
      <c r="A137" s="28">
        <f>IF('E-Mixed'!A137&lt;'Adj-Mixed'!$B$10,'E-Mixed'!B137," ")</f>
        <v>109.2587622048886</v>
      </c>
      <c r="B137" s="126">
        <f>IF('E-Mixed'!A137&lt;'Adj-Mixed'!$B$10,'E-Mixed'!A137," ")</f>
        <v>155</v>
      </c>
      <c r="C137" s="26">
        <f>IF('E-Mixed'!A137&lt;'Adj-Mixed'!$B$10,'E-Mixed'!C137," ")</f>
        <v>963.62288704943921</v>
      </c>
      <c r="D137" s="28">
        <f>IF('E-Mixed'!A137&lt;'Adj-Mixed'!$B$10,'E-Mixed'!G137," ")</f>
        <v>222.90345533955573</v>
      </c>
      <c r="E137" s="27">
        <f>IF('E-Mixed'!A137&lt;'Adj-Mixed'!$B$10,'E-Mixed'!D137," ")</f>
        <v>0.34717145224057694</v>
      </c>
      <c r="F137" s="92"/>
      <c r="G137" s="92">
        <f t="shared" si="8"/>
        <v>155</v>
      </c>
      <c r="H137" s="28">
        <f>IF('E-Mixed'!A137&lt;'Adj-Mixed'!$B$10,'E-Mixed'!I137," ")</f>
        <v>119.90000000000005</v>
      </c>
      <c r="I137" s="126">
        <f>IF('E-Mixed'!A137&lt;'Adj-Mixed'!$B$10,'E-Mixed'!A137," ")</f>
        <v>155</v>
      </c>
      <c r="J137" s="26">
        <f>IF('E-Mixed'!A137&lt;'Adj-Mixed'!$B$10,'E-Mixed'!J137," ")</f>
        <v>1062.2828459165298</v>
      </c>
      <c r="K137" s="28">
        <f>IF('E-Mixed'!A137&lt;'Adj-Mixed'!$B$10,'E-Mixed'!N137," ")</f>
        <v>276.4853762775154</v>
      </c>
      <c r="L137" s="27">
        <f>IF('E-Mixed'!A137&lt;'Adj-Mixed'!$B$10,'E-Mixed'!K137," ")</f>
        <v>0.30822216822203341</v>
      </c>
      <c r="M137" s="31">
        <f>IF('E-Mixed'!A137&lt;'Adj-Mixed'!$B$10,'E-Mixed'!M137," ")</f>
        <v>3.4464842423381281</v>
      </c>
      <c r="N137">
        <f>IF('E-Mixed'!A137&lt;'Adj-Mixed'!$B$10,1/L137," ")</f>
        <v>3.2444129692827022</v>
      </c>
      <c r="O137" s="19"/>
      <c r="P137">
        <f t="shared" si="10"/>
        <v>2.3419327929094789</v>
      </c>
      <c r="Q137">
        <f t="shared" si="11"/>
        <v>7.5981971265039752</v>
      </c>
      <c r="R137" s="106">
        <f t="shared" si="9"/>
        <v>264.33425235966837</v>
      </c>
    </row>
    <row r="138" spans="1:18" x14ac:dyDescent="0.25">
      <c r="A138" s="28" t="str">
        <f>IF('E-Mixed'!A138&lt;'Adj-Mixed'!$B$10,'E-Mixed'!B138," ")</f>
        <v xml:space="preserve"> </v>
      </c>
      <c r="B138" s="126" t="str">
        <f>IF('E-Mixed'!A138&lt;'Adj-Mixed'!$B$10,'E-Mixed'!A138," ")</f>
        <v xml:space="preserve"> </v>
      </c>
      <c r="C138" s="26" t="str">
        <f>IF('E-Mixed'!A138&lt;'Adj-Mixed'!$B$10,'E-Mixed'!C138," ")</f>
        <v xml:space="preserve"> </v>
      </c>
      <c r="D138" s="28" t="str">
        <f>IF('E-Mixed'!A138&lt;'Adj-Mixed'!$B$10,'E-Mixed'!G138," ")</f>
        <v xml:space="preserve"> </v>
      </c>
      <c r="E138" s="27" t="str">
        <f>IF('E-Mixed'!A138&lt;'Adj-Mixed'!$B$10,'E-Mixed'!D138," ")</f>
        <v xml:space="preserve"> </v>
      </c>
      <c r="F138" s="92"/>
      <c r="G138" s="92" t="str">
        <f t="shared" si="8"/>
        <v xml:space="preserve"> </v>
      </c>
      <c r="H138" s="28" t="str">
        <f>IF('E-Mixed'!A138&lt;'Adj-Mixed'!$B$10,'E-Mixed'!I138," ")</f>
        <v xml:space="preserve"> </v>
      </c>
      <c r="I138" s="126" t="str">
        <f>IF('E-Mixed'!A138&lt;'Adj-Mixed'!$B$10,'E-Mixed'!A138," ")</f>
        <v xml:space="preserve"> </v>
      </c>
      <c r="J138" s="26" t="str">
        <f>IF('E-Mixed'!A138&lt;'Adj-Mixed'!$B$10,'E-Mixed'!J138," ")</f>
        <v xml:space="preserve"> </v>
      </c>
      <c r="K138" s="28" t="str">
        <f>IF('E-Mixed'!A138&lt;'Adj-Mixed'!$B$10,'E-Mixed'!N138," ")</f>
        <v xml:space="preserve"> </v>
      </c>
      <c r="L138" s="27" t="str">
        <f>IF('E-Mixed'!A138&lt;'Adj-Mixed'!$B$10,'E-Mixed'!K138," ")</f>
        <v xml:space="preserve"> </v>
      </c>
      <c r="M138" s="31" t="str">
        <f>IF('E-Mixed'!A138&lt;'Adj-Mixed'!$B$10,'E-Mixed'!M138," ")</f>
        <v xml:space="preserve"> </v>
      </c>
      <c r="N138" t="str">
        <f>IF('E-Mixed'!A138&lt;'Adj-Mixed'!$B$10,1/L138," ")</f>
        <v xml:space="preserve"> </v>
      </c>
      <c r="O138" s="19"/>
      <c r="P138" t="str">
        <f t="shared" si="10"/>
        <v/>
      </c>
      <c r="Q138" t="str">
        <f t="shared" si="11"/>
        <v/>
      </c>
      <c r="R138" s="106" t="str">
        <f t="shared" si="9"/>
        <v/>
      </c>
    </row>
    <row r="139" spans="1:18" x14ac:dyDescent="0.25">
      <c r="A139" s="28" t="str">
        <f>IF('E-Mixed'!A139&lt;'Adj-Mixed'!$B$10,'E-Mixed'!B139," ")</f>
        <v xml:space="preserve"> </v>
      </c>
      <c r="B139" s="126" t="str">
        <f>IF('E-Mixed'!A139&lt;'Adj-Mixed'!$B$10,'E-Mixed'!A139," ")</f>
        <v xml:space="preserve"> </v>
      </c>
      <c r="C139" s="26" t="str">
        <f>IF('E-Mixed'!A139&lt;'Adj-Mixed'!$B$10,'E-Mixed'!C139," ")</f>
        <v xml:space="preserve"> </v>
      </c>
      <c r="D139" s="28" t="str">
        <f>IF('E-Mixed'!A139&lt;'Adj-Mixed'!$B$10,'E-Mixed'!G139," ")</f>
        <v xml:space="preserve"> </v>
      </c>
      <c r="E139" s="27" t="str">
        <f>IF('E-Mixed'!A139&lt;'Adj-Mixed'!$B$10,'E-Mixed'!D139," ")</f>
        <v xml:space="preserve"> </v>
      </c>
      <c r="F139" s="92"/>
      <c r="G139" s="92" t="str">
        <f t="shared" si="8"/>
        <v xml:space="preserve"> </v>
      </c>
      <c r="H139" s="28" t="str">
        <f>IF('E-Mixed'!A139&lt;'Adj-Mixed'!$B$10,'E-Mixed'!I139," ")</f>
        <v xml:space="preserve"> </v>
      </c>
      <c r="I139" s="126" t="str">
        <f>IF('E-Mixed'!A139&lt;'Adj-Mixed'!$B$10,'E-Mixed'!A139," ")</f>
        <v xml:space="preserve"> </v>
      </c>
      <c r="J139" s="26" t="str">
        <f>IF('E-Mixed'!A139&lt;'Adj-Mixed'!$B$10,'E-Mixed'!J139," ")</f>
        <v xml:space="preserve"> </v>
      </c>
      <c r="K139" s="28" t="str">
        <f>IF('E-Mixed'!A139&lt;'Adj-Mixed'!$B$10,'E-Mixed'!N139," ")</f>
        <v xml:space="preserve"> </v>
      </c>
      <c r="L139" s="27" t="str">
        <f>IF('E-Mixed'!A139&lt;'Adj-Mixed'!$B$10,'E-Mixed'!K139," ")</f>
        <v xml:space="preserve"> </v>
      </c>
      <c r="M139" s="31" t="str">
        <f>IF('E-Mixed'!A139&lt;'Adj-Mixed'!$B$10,'E-Mixed'!M139," ")</f>
        <v xml:space="preserve"> </v>
      </c>
      <c r="N139" t="str">
        <f>IF('E-Mixed'!A139&lt;'Adj-Mixed'!$B$10,1/L139," ")</f>
        <v xml:space="preserve"> </v>
      </c>
      <c r="O139" s="19"/>
      <c r="P139" t="str">
        <f t="shared" si="10"/>
        <v/>
      </c>
      <c r="Q139" t="str">
        <f t="shared" si="11"/>
        <v/>
      </c>
      <c r="R139" s="106" t="str">
        <f t="shared" si="9"/>
        <v/>
      </c>
    </row>
    <row r="140" spans="1:18" x14ac:dyDescent="0.25">
      <c r="A140" s="28" t="str">
        <f>IF('E-Mixed'!A140&lt;'Adj-Mixed'!$B$10,'E-Mixed'!B140," ")</f>
        <v xml:space="preserve"> </v>
      </c>
      <c r="B140" s="126" t="str">
        <f>IF('E-Mixed'!A140&lt;'Adj-Mixed'!$B$10,'E-Mixed'!A140," ")</f>
        <v xml:space="preserve"> </v>
      </c>
      <c r="C140" s="26" t="str">
        <f>IF('E-Mixed'!A140&lt;'Adj-Mixed'!$B$10,'E-Mixed'!C140," ")</f>
        <v xml:space="preserve"> </v>
      </c>
      <c r="D140" s="28" t="str">
        <f>IF('E-Mixed'!A140&lt;'Adj-Mixed'!$B$10,'E-Mixed'!G140," ")</f>
        <v xml:space="preserve"> </v>
      </c>
      <c r="E140" s="27" t="str">
        <f>IF('E-Mixed'!A140&lt;'Adj-Mixed'!$B$10,'E-Mixed'!D140," ")</f>
        <v xml:space="preserve"> </v>
      </c>
      <c r="F140" s="92"/>
      <c r="G140" s="92" t="str">
        <f t="shared" si="8"/>
        <v xml:space="preserve"> </v>
      </c>
      <c r="H140" s="28" t="str">
        <f>IF('E-Mixed'!A140&lt;'Adj-Mixed'!$B$10,'E-Mixed'!I140," ")</f>
        <v xml:space="preserve"> </v>
      </c>
      <c r="I140" s="126" t="str">
        <f>IF('E-Mixed'!A140&lt;'Adj-Mixed'!$B$10,'E-Mixed'!A140," ")</f>
        <v xml:space="preserve"> </v>
      </c>
      <c r="J140" s="26" t="str">
        <f>IF('E-Mixed'!A140&lt;'Adj-Mixed'!$B$10,'E-Mixed'!J140," ")</f>
        <v xml:space="preserve"> </v>
      </c>
      <c r="K140" s="28" t="str">
        <f>IF('E-Mixed'!A140&lt;'Adj-Mixed'!$B$10,'E-Mixed'!N140," ")</f>
        <v xml:space="preserve"> </v>
      </c>
      <c r="L140" s="27" t="str">
        <f>IF('E-Mixed'!A140&lt;'Adj-Mixed'!$B$10,'E-Mixed'!K140," ")</f>
        <v xml:space="preserve"> </v>
      </c>
      <c r="M140" s="31" t="str">
        <f>IF('E-Mixed'!A140&lt;'Adj-Mixed'!$B$10,'E-Mixed'!M140," ")</f>
        <v xml:space="preserve"> </v>
      </c>
      <c r="N140" t="str">
        <f>IF('E-Mixed'!A140&lt;'Adj-Mixed'!$B$10,1/L140," ")</f>
        <v xml:space="preserve"> </v>
      </c>
      <c r="O140" s="19"/>
      <c r="P140" t="str">
        <f t="shared" si="10"/>
        <v/>
      </c>
      <c r="Q140" t="str">
        <f t="shared" si="11"/>
        <v/>
      </c>
      <c r="R140" s="106" t="str">
        <f t="shared" si="9"/>
        <v/>
      </c>
    </row>
    <row r="141" spans="1:18" x14ac:dyDescent="0.25">
      <c r="A141" s="28" t="str">
        <f>IF('E-Mixed'!A141&lt;'Adj-Mixed'!$B$10,'E-Mixed'!B141," ")</f>
        <v xml:space="preserve"> </v>
      </c>
      <c r="B141" s="126" t="str">
        <f>IF('E-Mixed'!A141&lt;'Adj-Mixed'!$B$10,'E-Mixed'!A141," ")</f>
        <v xml:space="preserve"> </v>
      </c>
      <c r="C141" s="26" t="str">
        <f>IF('E-Mixed'!A141&lt;'Adj-Mixed'!$B$10,'E-Mixed'!C141," ")</f>
        <v xml:space="preserve"> </v>
      </c>
      <c r="D141" s="28" t="str">
        <f>IF('E-Mixed'!A141&lt;'Adj-Mixed'!$B$10,'E-Mixed'!G141," ")</f>
        <v xml:space="preserve"> </v>
      </c>
      <c r="E141" s="27" t="str">
        <f>IF('E-Mixed'!A141&lt;'Adj-Mixed'!$B$10,'E-Mixed'!D141," ")</f>
        <v xml:space="preserve"> </v>
      </c>
      <c r="F141" s="92"/>
      <c r="G141" s="92" t="str">
        <f t="shared" si="8"/>
        <v xml:space="preserve"> </v>
      </c>
      <c r="H141" s="28" t="str">
        <f>IF('E-Mixed'!A141&lt;'Adj-Mixed'!$B$10,'E-Mixed'!I141," ")</f>
        <v xml:space="preserve"> </v>
      </c>
      <c r="I141" s="126" t="str">
        <f>IF('E-Mixed'!A141&lt;'Adj-Mixed'!$B$10,'E-Mixed'!A141," ")</f>
        <v xml:space="preserve"> </v>
      </c>
      <c r="J141" s="26" t="str">
        <f>IF('E-Mixed'!A141&lt;'Adj-Mixed'!$B$10,'E-Mixed'!J141," ")</f>
        <v xml:space="preserve"> </v>
      </c>
      <c r="K141" s="28" t="str">
        <f>IF('E-Mixed'!A141&lt;'Adj-Mixed'!$B$10,'E-Mixed'!N141," ")</f>
        <v xml:space="preserve"> </v>
      </c>
      <c r="L141" s="27" t="str">
        <f>IF('E-Mixed'!A141&lt;'Adj-Mixed'!$B$10,'E-Mixed'!K141," ")</f>
        <v xml:space="preserve"> </v>
      </c>
      <c r="M141" s="31" t="str">
        <f>IF('E-Mixed'!A141&lt;'Adj-Mixed'!$B$10,'E-Mixed'!M141," ")</f>
        <v xml:space="preserve"> </v>
      </c>
      <c r="N141" t="str">
        <f>IF('E-Mixed'!A141&lt;'Adj-Mixed'!$B$10,1/L141," ")</f>
        <v xml:space="preserve"> </v>
      </c>
      <c r="O141" s="19"/>
      <c r="P141" t="str">
        <f t="shared" si="10"/>
        <v/>
      </c>
      <c r="Q141" t="str">
        <f t="shared" si="11"/>
        <v/>
      </c>
      <c r="R141" s="106" t="str">
        <f t="shared" si="9"/>
        <v/>
      </c>
    </row>
    <row r="142" spans="1:18" x14ac:dyDescent="0.25">
      <c r="A142" s="28" t="str">
        <f>IF('E-Mixed'!A142&lt;'Adj-Mixed'!$B$10,'E-Mixed'!B142," ")</f>
        <v xml:space="preserve"> </v>
      </c>
      <c r="B142" s="126" t="str">
        <f>IF('E-Mixed'!A142&lt;'Adj-Mixed'!$B$10,'E-Mixed'!A142," ")</f>
        <v xml:space="preserve"> </v>
      </c>
      <c r="C142" s="26" t="str">
        <f>IF('E-Mixed'!A142&lt;'Adj-Mixed'!$B$10,'E-Mixed'!C142," ")</f>
        <v xml:space="preserve"> </v>
      </c>
      <c r="D142" s="28" t="str">
        <f>IF('E-Mixed'!A142&lt;'Adj-Mixed'!$B$10,'E-Mixed'!G142," ")</f>
        <v xml:space="preserve"> </v>
      </c>
      <c r="E142" s="27" t="str">
        <f>IF('E-Mixed'!A142&lt;'Adj-Mixed'!$B$10,'E-Mixed'!D142," ")</f>
        <v xml:space="preserve"> </v>
      </c>
      <c r="F142" s="92"/>
      <c r="G142" s="92" t="str">
        <f t="shared" si="8"/>
        <v xml:space="preserve"> </v>
      </c>
      <c r="H142" s="28" t="str">
        <f>IF('E-Mixed'!A142&lt;'Adj-Mixed'!$B$10,'E-Mixed'!I142," ")</f>
        <v xml:space="preserve"> </v>
      </c>
      <c r="I142" s="126" t="str">
        <f>IF('E-Mixed'!A142&lt;'Adj-Mixed'!$B$10,'E-Mixed'!A142," ")</f>
        <v xml:space="preserve"> </v>
      </c>
      <c r="J142" s="26" t="str">
        <f>IF('E-Mixed'!A142&lt;'Adj-Mixed'!$B$10,'E-Mixed'!J142," ")</f>
        <v xml:space="preserve"> </v>
      </c>
      <c r="K142" s="28" t="str">
        <f>IF('E-Mixed'!A142&lt;'Adj-Mixed'!$B$10,'E-Mixed'!N142," ")</f>
        <v xml:space="preserve"> </v>
      </c>
      <c r="L142" s="27" t="str">
        <f>IF('E-Mixed'!A142&lt;'Adj-Mixed'!$B$10,'E-Mixed'!K142," ")</f>
        <v xml:space="preserve"> </v>
      </c>
      <c r="M142" s="31" t="str">
        <f>IF('E-Mixed'!A142&lt;'Adj-Mixed'!$B$10,'E-Mixed'!M142," ")</f>
        <v xml:space="preserve"> </v>
      </c>
      <c r="N142" t="str">
        <f>IF('E-Mixed'!A142&lt;'Adj-Mixed'!$B$10,1/L142," ")</f>
        <v xml:space="preserve"> </v>
      </c>
      <c r="O142" s="19"/>
      <c r="P142" t="str">
        <f t="shared" si="10"/>
        <v/>
      </c>
      <c r="Q142" t="str">
        <f t="shared" si="11"/>
        <v/>
      </c>
      <c r="R142" s="106" t="str">
        <f t="shared" si="9"/>
        <v/>
      </c>
    </row>
    <row r="143" spans="1:18" x14ac:dyDescent="0.25">
      <c r="A143" s="28" t="str">
        <f>IF('E-Mixed'!A143&lt;'Adj-Mixed'!$B$10,'E-Mixed'!B143," ")</f>
        <v xml:space="preserve"> </v>
      </c>
      <c r="B143" s="126" t="str">
        <f>IF('E-Mixed'!A143&lt;'Adj-Mixed'!$B$10,'E-Mixed'!A143," ")</f>
        <v xml:space="preserve"> </v>
      </c>
      <c r="C143" s="26" t="str">
        <f>IF('E-Mixed'!A143&lt;'Adj-Mixed'!$B$10,'E-Mixed'!C143," ")</f>
        <v xml:space="preserve"> </v>
      </c>
      <c r="D143" s="28" t="str">
        <f>IF('E-Mixed'!A143&lt;'Adj-Mixed'!$B$10,'E-Mixed'!G143," ")</f>
        <v xml:space="preserve"> </v>
      </c>
      <c r="E143" s="27" t="str">
        <f>IF('E-Mixed'!A143&lt;'Adj-Mixed'!$B$10,'E-Mixed'!D143," ")</f>
        <v xml:space="preserve"> </v>
      </c>
      <c r="F143" s="92"/>
      <c r="G143" s="92" t="str">
        <f t="shared" si="8"/>
        <v xml:space="preserve"> </v>
      </c>
      <c r="H143" s="28" t="str">
        <f>IF('E-Mixed'!A143&lt;'Adj-Mixed'!$B$10,'E-Mixed'!I143," ")</f>
        <v xml:space="preserve"> </v>
      </c>
      <c r="I143" s="126" t="str">
        <f>IF('E-Mixed'!A143&lt;'Adj-Mixed'!$B$10,'E-Mixed'!A143," ")</f>
        <v xml:space="preserve"> </v>
      </c>
      <c r="J143" s="26" t="str">
        <f>IF('E-Mixed'!A143&lt;'Adj-Mixed'!$B$10,'E-Mixed'!J143," ")</f>
        <v xml:space="preserve"> </v>
      </c>
      <c r="K143" s="28" t="str">
        <f>IF('E-Mixed'!A143&lt;'Adj-Mixed'!$B$10,'E-Mixed'!N143," ")</f>
        <v xml:space="preserve"> </v>
      </c>
      <c r="L143" s="27" t="str">
        <f>IF('E-Mixed'!A143&lt;'Adj-Mixed'!$B$10,'E-Mixed'!K143," ")</f>
        <v xml:space="preserve"> </v>
      </c>
      <c r="M143" s="31" t="str">
        <f>IF('E-Mixed'!A143&lt;'Adj-Mixed'!$B$10,'E-Mixed'!M143," ")</f>
        <v xml:space="preserve"> </v>
      </c>
      <c r="N143" t="str">
        <f>IF('E-Mixed'!A143&lt;'Adj-Mixed'!$B$10,1/L143," ")</f>
        <v xml:space="preserve"> </v>
      </c>
      <c r="O143" s="19"/>
      <c r="P143" t="str">
        <f t="shared" si="10"/>
        <v/>
      </c>
      <c r="Q143" t="str">
        <f t="shared" si="11"/>
        <v/>
      </c>
      <c r="R143" s="106" t="str">
        <f t="shared" si="9"/>
        <v/>
      </c>
    </row>
    <row r="144" spans="1:18" x14ac:dyDescent="0.25">
      <c r="A144" s="28" t="str">
        <f>IF('E-Mixed'!A144&lt;'Adj-Mixed'!$B$10,'E-Mixed'!B144," ")</f>
        <v xml:space="preserve"> </v>
      </c>
      <c r="B144" s="126" t="str">
        <f>IF('E-Mixed'!A144&lt;'Adj-Mixed'!$B$10,'E-Mixed'!A144," ")</f>
        <v xml:space="preserve"> </v>
      </c>
      <c r="C144" s="26" t="str">
        <f>IF('E-Mixed'!A144&lt;'Adj-Mixed'!$B$10,'E-Mixed'!C144," ")</f>
        <v xml:space="preserve"> </v>
      </c>
      <c r="D144" s="28" t="str">
        <f>IF('E-Mixed'!A144&lt;'Adj-Mixed'!$B$10,'E-Mixed'!G144," ")</f>
        <v xml:space="preserve"> </v>
      </c>
      <c r="E144" s="27" t="str">
        <f>IF('E-Mixed'!A144&lt;'Adj-Mixed'!$B$10,'E-Mixed'!D144," ")</f>
        <v xml:space="preserve"> </v>
      </c>
      <c r="F144" s="92"/>
      <c r="G144" s="92" t="str">
        <f t="shared" si="8"/>
        <v xml:space="preserve"> </v>
      </c>
      <c r="H144" s="28" t="str">
        <f>IF('E-Mixed'!A144&lt;'Adj-Mixed'!$B$10,'E-Mixed'!I144," ")</f>
        <v xml:space="preserve"> </v>
      </c>
      <c r="I144" s="126" t="str">
        <f>IF('E-Mixed'!A144&lt;'Adj-Mixed'!$B$10,'E-Mixed'!A144," ")</f>
        <v xml:space="preserve"> </v>
      </c>
      <c r="J144" s="26" t="str">
        <f>IF('E-Mixed'!A144&lt;'Adj-Mixed'!$B$10,'E-Mixed'!J144," ")</f>
        <v xml:space="preserve"> </v>
      </c>
      <c r="K144" s="28" t="str">
        <f>IF('E-Mixed'!A144&lt;'Adj-Mixed'!$B$10,'E-Mixed'!N144," ")</f>
        <v xml:space="preserve"> </v>
      </c>
      <c r="L144" s="27" t="str">
        <f>IF('E-Mixed'!A144&lt;'Adj-Mixed'!$B$10,'E-Mixed'!K144," ")</f>
        <v xml:space="preserve"> </v>
      </c>
      <c r="M144" s="31" t="str">
        <f>IF('E-Mixed'!A144&lt;'Adj-Mixed'!$B$10,'E-Mixed'!M144," ")</f>
        <v xml:space="preserve"> </v>
      </c>
      <c r="N144" t="str">
        <f>IF('E-Mixed'!A144&lt;'Adj-Mixed'!$B$10,1/L144," ")</f>
        <v xml:space="preserve"> </v>
      </c>
      <c r="O144" s="19"/>
      <c r="P144" t="str">
        <f t="shared" si="10"/>
        <v/>
      </c>
      <c r="Q144" t="str">
        <f t="shared" si="11"/>
        <v/>
      </c>
      <c r="R144" s="106" t="str">
        <f t="shared" si="9"/>
        <v/>
      </c>
    </row>
    <row r="145" spans="1:18" x14ac:dyDescent="0.25">
      <c r="A145" s="28" t="str">
        <f>IF('E-Mixed'!A145&lt;'Adj-Mixed'!$B$10,'E-Mixed'!B145," ")</f>
        <v xml:space="preserve"> </v>
      </c>
      <c r="B145" s="126" t="str">
        <f>IF('E-Mixed'!A145&lt;'Adj-Mixed'!$B$10,'E-Mixed'!A145," ")</f>
        <v xml:space="preserve"> </v>
      </c>
      <c r="C145" s="26" t="str">
        <f>IF('E-Mixed'!A145&lt;'Adj-Mixed'!$B$10,'E-Mixed'!C145," ")</f>
        <v xml:space="preserve"> </v>
      </c>
      <c r="D145" s="28" t="str">
        <f>IF('E-Mixed'!A145&lt;'Adj-Mixed'!$B$10,'E-Mixed'!G145," ")</f>
        <v xml:space="preserve"> </v>
      </c>
      <c r="E145" s="27" t="str">
        <f>IF('E-Mixed'!A145&lt;'Adj-Mixed'!$B$10,'E-Mixed'!D145," ")</f>
        <v xml:space="preserve"> </v>
      </c>
      <c r="F145" s="92"/>
      <c r="G145" s="92" t="str">
        <f t="shared" si="8"/>
        <v xml:space="preserve"> </v>
      </c>
      <c r="H145" s="28" t="str">
        <f>IF('E-Mixed'!A145&lt;'Adj-Mixed'!$B$10,'E-Mixed'!I145," ")</f>
        <v xml:space="preserve"> </v>
      </c>
      <c r="I145" s="126" t="str">
        <f>IF('E-Mixed'!A145&lt;'Adj-Mixed'!$B$10,'E-Mixed'!A145," ")</f>
        <v xml:space="preserve"> </v>
      </c>
      <c r="J145" s="26" t="str">
        <f>IF('E-Mixed'!A145&lt;'Adj-Mixed'!$B$10,'E-Mixed'!J145," ")</f>
        <v xml:space="preserve"> </v>
      </c>
      <c r="K145" s="28" t="str">
        <f>IF('E-Mixed'!A145&lt;'Adj-Mixed'!$B$10,'E-Mixed'!N145," ")</f>
        <v xml:space="preserve"> </v>
      </c>
      <c r="L145" s="27" t="str">
        <f>IF('E-Mixed'!A145&lt;'Adj-Mixed'!$B$10,'E-Mixed'!K145," ")</f>
        <v xml:space="preserve"> </v>
      </c>
      <c r="M145" s="31" t="str">
        <f>IF('E-Mixed'!A145&lt;'Adj-Mixed'!$B$10,'E-Mixed'!M145," ")</f>
        <v xml:space="preserve"> </v>
      </c>
      <c r="N145" t="str">
        <f>IF('E-Mixed'!A145&lt;'Adj-Mixed'!$B$10,1/L145," ")</f>
        <v xml:space="preserve"> </v>
      </c>
      <c r="O145" s="19"/>
      <c r="P145" t="str">
        <f t="shared" si="10"/>
        <v/>
      </c>
      <c r="Q145" t="str">
        <f t="shared" si="11"/>
        <v/>
      </c>
      <c r="R145" s="106" t="str">
        <f t="shared" si="9"/>
        <v/>
      </c>
    </row>
    <row r="146" spans="1:18" x14ac:dyDescent="0.25">
      <c r="A146" s="28" t="str">
        <f>IF('E-Mixed'!A146&lt;'Adj-Mixed'!$B$10,'E-Mixed'!B146," ")</f>
        <v xml:space="preserve"> </v>
      </c>
      <c r="B146" s="126" t="str">
        <f>IF('E-Mixed'!A146&lt;'Adj-Mixed'!$B$10,'E-Mixed'!A146," ")</f>
        <v xml:space="preserve"> </v>
      </c>
      <c r="C146" s="26" t="str">
        <f>IF('E-Mixed'!A146&lt;'Adj-Mixed'!$B$10,'E-Mixed'!C146," ")</f>
        <v xml:space="preserve"> </v>
      </c>
      <c r="D146" s="28" t="str">
        <f>IF('E-Mixed'!A146&lt;'Adj-Mixed'!$B$10,'E-Mixed'!G146," ")</f>
        <v xml:space="preserve"> </v>
      </c>
      <c r="E146" s="27" t="str">
        <f>IF('E-Mixed'!A146&lt;'Adj-Mixed'!$B$10,'E-Mixed'!D146," ")</f>
        <v xml:space="preserve"> </v>
      </c>
      <c r="F146" s="92"/>
      <c r="G146" s="92" t="str">
        <f t="shared" si="8"/>
        <v xml:space="preserve"> </v>
      </c>
      <c r="H146" s="28" t="str">
        <f>IF('E-Mixed'!A146&lt;'Adj-Mixed'!$B$10,'E-Mixed'!I146," ")</f>
        <v xml:space="preserve"> </v>
      </c>
      <c r="I146" s="126" t="str">
        <f>IF('E-Mixed'!A146&lt;'Adj-Mixed'!$B$10,'E-Mixed'!A146," ")</f>
        <v xml:space="preserve"> </v>
      </c>
      <c r="J146" s="26" t="str">
        <f>IF('E-Mixed'!A146&lt;'Adj-Mixed'!$B$10,'E-Mixed'!J146," ")</f>
        <v xml:space="preserve"> </v>
      </c>
      <c r="K146" s="28" t="str">
        <f>IF('E-Mixed'!A146&lt;'Adj-Mixed'!$B$10,'E-Mixed'!N146," ")</f>
        <v xml:space="preserve"> </v>
      </c>
      <c r="L146" s="27" t="str">
        <f>IF('E-Mixed'!A146&lt;'Adj-Mixed'!$B$10,'E-Mixed'!K146," ")</f>
        <v xml:space="preserve"> </v>
      </c>
      <c r="M146" s="31" t="str">
        <f>IF('E-Mixed'!A146&lt;'Adj-Mixed'!$B$10,'E-Mixed'!M146," ")</f>
        <v xml:space="preserve"> </v>
      </c>
      <c r="N146" t="str">
        <f>IF('E-Mixed'!A146&lt;'Adj-Mixed'!$B$10,1/L146," ")</f>
        <v xml:space="preserve"> </v>
      </c>
      <c r="O146" s="19"/>
      <c r="P146" t="str">
        <f t="shared" si="10"/>
        <v/>
      </c>
      <c r="Q146" t="str">
        <f t="shared" si="11"/>
        <v/>
      </c>
      <c r="R146" s="106" t="str">
        <f t="shared" si="9"/>
        <v/>
      </c>
    </row>
    <row r="147" spans="1:18" x14ac:dyDescent="0.25">
      <c r="A147" s="28" t="str">
        <f>IF('E-Mixed'!A147&lt;'Adj-Mixed'!$B$10,'E-Mixed'!B147," ")</f>
        <v xml:space="preserve"> </v>
      </c>
      <c r="B147" s="126" t="str">
        <f>IF('E-Mixed'!A147&lt;'Adj-Mixed'!$B$10,'E-Mixed'!A147," ")</f>
        <v xml:space="preserve"> </v>
      </c>
      <c r="C147" s="26" t="str">
        <f>IF('E-Mixed'!A147&lt;'Adj-Mixed'!$B$10,'E-Mixed'!C147," ")</f>
        <v xml:space="preserve"> </v>
      </c>
      <c r="D147" s="28" t="str">
        <f>IF('E-Mixed'!A147&lt;'Adj-Mixed'!$B$10,'E-Mixed'!G147," ")</f>
        <v xml:space="preserve"> </v>
      </c>
      <c r="E147" s="27" t="str">
        <f>IF('E-Mixed'!A147&lt;'Adj-Mixed'!$B$10,'E-Mixed'!D147," ")</f>
        <v xml:space="preserve"> </v>
      </c>
      <c r="F147" s="92"/>
      <c r="G147" s="92" t="str">
        <f t="shared" si="8"/>
        <v xml:space="preserve"> </v>
      </c>
      <c r="H147" s="28" t="str">
        <f>IF('E-Mixed'!A147&lt;'Adj-Mixed'!$B$10,'E-Mixed'!I147," ")</f>
        <v xml:space="preserve"> </v>
      </c>
      <c r="I147" s="126" t="str">
        <f>IF('E-Mixed'!A147&lt;'Adj-Mixed'!$B$10,'E-Mixed'!A147," ")</f>
        <v xml:space="preserve"> </v>
      </c>
      <c r="J147" s="26" t="str">
        <f>IF('E-Mixed'!A147&lt;'Adj-Mixed'!$B$10,'E-Mixed'!J147," ")</f>
        <v xml:space="preserve"> </v>
      </c>
      <c r="K147" s="28" t="str">
        <f>IF('E-Mixed'!A147&lt;'Adj-Mixed'!$B$10,'E-Mixed'!N147," ")</f>
        <v xml:space="preserve"> </v>
      </c>
      <c r="L147" s="27" t="str">
        <f>IF('E-Mixed'!A147&lt;'Adj-Mixed'!$B$10,'E-Mixed'!K147," ")</f>
        <v xml:space="preserve"> </v>
      </c>
      <c r="M147" s="31" t="str">
        <f>IF('E-Mixed'!A147&lt;'Adj-Mixed'!$B$10,'E-Mixed'!M147," ")</f>
        <v xml:space="preserve"> </v>
      </c>
      <c r="N147" t="str">
        <f>IF('E-Mixed'!A147&lt;'Adj-Mixed'!$B$10,1/L147," ")</f>
        <v xml:space="preserve"> </v>
      </c>
      <c r="O147" s="19"/>
      <c r="P147" t="str">
        <f t="shared" si="10"/>
        <v/>
      </c>
      <c r="Q147" t="str">
        <f t="shared" si="11"/>
        <v/>
      </c>
      <c r="R147" s="106" t="str">
        <f t="shared" si="9"/>
        <v/>
      </c>
    </row>
    <row r="148" spans="1:18" x14ac:dyDescent="0.25">
      <c r="A148" s="28" t="str">
        <f>IF('E-Mixed'!A148&lt;'Adj-Mixed'!$B$10,'E-Mixed'!B148," ")</f>
        <v xml:space="preserve"> </v>
      </c>
      <c r="B148" s="126" t="str">
        <f>IF('E-Mixed'!A148&lt;'Adj-Mixed'!$B$10,'E-Mixed'!A148," ")</f>
        <v xml:space="preserve"> </v>
      </c>
      <c r="C148" s="26" t="str">
        <f>IF('E-Mixed'!A148&lt;'Adj-Mixed'!$B$10,'E-Mixed'!C148," ")</f>
        <v xml:space="preserve"> </v>
      </c>
      <c r="D148" s="28" t="str">
        <f>IF('E-Mixed'!A148&lt;'Adj-Mixed'!$B$10,'E-Mixed'!G148," ")</f>
        <v xml:space="preserve"> </v>
      </c>
      <c r="E148" s="27" t="str">
        <f>IF('E-Mixed'!A148&lt;'Adj-Mixed'!$B$10,'E-Mixed'!D148," ")</f>
        <v xml:space="preserve"> </v>
      </c>
      <c r="F148" s="92"/>
      <c r="G148" s="92" t="str">
        <f t="shared" si="8"/>
        <v xml:space="preserve"> </v>
      </c>
      <c r="H148" s="28" t="str">
        <f>IF('E-Mixed'!A148&lt;'Adj-Mixed'!$B$10,'E-Mixed'!I148," ")</f>
        <v xml:space="preserve"> </v>
      </c>
      <c r="I148" s="126" t="str">
        <f>IF('E-Mixed'!A148&lt;'Adj-Mixed'!$B$10,'E-Mixed'!A148," ")</f>
        <v xml:space="preserve"> </v>
      </c>
      <c r="J148" s="26" t="str">
        <f>IF('E-Mixed'!A148&lt;'Adj-Mixed'!$B$10,'E-Mixed'!J148," ")</f>
        <v xml:space="preserve"> </v>
      </c>
      <c r="K148" s="28" t="str">
        <f>IF('E-Mixed'!A148&lt;'Adj-Mixed'!$B$10,'E-Mixed'!N148," ")</f>
        <v xml:space="preserve"> </v>
      </c>
      <c r="L148" s="27" t="str">
        <f>IF('E-Mixed'!A148&lt;'Adj-Mixed'!$B$10,'E-Mixed'!K148," ")</f>
        <v xml:space="preserve"> </v>
      </c>
      <c r="M148" s="31" t="str">
        <f>IF('E-Mixed'!A148&lt;'Adj-Mixed'!$B$10,'E-Mixed'!M148," ")</f>
        <v xml:space="preserve"> </v>
      </c>
      <c r="N148" t="str">
        <f>IF('E-Mixed'!A148&lt;'Adj-Mixed'!$B$10,1/L148," ")</f>
        <v xml:space="preserve"> </v>
      </c>
      <c r="O148" s="19"/>
      <c r="P148" t="str">
        <f t="shared" si="10"/>
        <v/>
      </c>
      <c r="Q148" t="str">
        <f t="shared" si="11"/>
        <v/>
      </c>
      <c r="R148" s="106" t="str">
        <f t="shared" si="9"/>
        <v/>
      </c>
    </row>
    <row r="149" spans="1:18" x14ac:dyDescent="0.25">
      <c r="A149" s="28" t="str">
        <f>IF('E-Mixed'!A149&lt;'Adj-Mixed'!$B$10,'E-Mixed'!B149," ")</f>
        <v xml:space="preserve"> </v>
      </c>
      <c r="B149" s="126" t="str">
        <f>IF('E-Mixed'!A149&lt;'Adj-Mixed'!$B$10,'E-Mixed'!A149," ")</f>
        <v xml:space="preserve"> </v>
      </c>
      <c r="C149" s="26" t="str">
        <f>IF('E-Mixed'!A149&lt;'Adj-Mixed'!$B$10,'E-Mixed'!C149," ")</f>
        <v xml:space="preserve"> </v>
      </c>
      <c r="D149" s="28" t="str">
        <f>IF('E-Mixed'!A149&lt;'Adj-Mixed'!$B$10,'E-Mixed'!G149," ")</f>
        <v xml:space="preserve"> </v>
      </c>
      <c r="E149" s="27" t="str">
        <f>IF('E-Mixed'!A149&lt;'Adj-Mixed'!$B$10,'E-Mixed'!D149," ")</f>
        <v xml:space="preserve"> </v>
      </c>
      <c r="F149" s="92"/>
      <c r="G149" s="92" t="str">
        <f t="shared" si="8"/>
        <v xml:space="preserve"> </v>
      </c>
      <c r="H149" s="28" t="str">
        <f>IF('E-Mixed'!A149&lt;'Adj-Mixed'!$B$10,'E-Mixed'!I149," ")</f>
        <v xml:space="preserve"> </v>
      </c>
      <c r="I149" s="126" t="str">
        <f>IF('E-Mixed'!A149&lt;'Adj-Mixed'!$B$10,'E-Mixed'!A149," ")</f>
        <v xml:space="preserve"> </v>
      </c>
      <c r="J149" s="26" t="str">
        <f>IF('E-Mixed'!A149&lt;'Adj-Mixed'!$B$10,'E-Mixed'!J149," ")</f>
        <v xml:space="preserve"> </v>
      </c>
      <c r="K149" s="28" t="str">
        <f>IF('E-Mixed'!A149&lt;'Adj-Mixed'!$B$10,'E-Mixed'!N149," ")</f>
        <v xml:space="preserve"> </v>
      </c>
      <c r="L149" s="27" t="str">
        <f>IF('E-Mixed'!A149&lt;'Adj-Mixed'!$B$10,'E-Mixed'!K149," ")</f>
        <v xml:space="preserve"> </v>
      </c>
      <c r="M149" s="31" t="str">
        <f>IF('E-Mixed'!A149&lt;'Adj-Mixed'!$B$10,'E-Mixed'!M149," ")</f>
        <v xml:space="preserve"> </v>
      </c>
      <c r="N149" t="str">
        <f>IF('E-Mixed'!A149&lt;'Adj-Mixed'!$B$10,1/L149," ")</f>
        <v xml:space="preserve"> </v>
      </c>
      <c r="O149" s="19"/>
      <c r="P149" t="str">
        <f t="shared" si="10"/>
        <v/>
      </c>
      <c r="Q149" t="str">
        <f t="shared" si="11"/>
        <v/>
      </c>
      <c r="R149" s="106" t="str">
        <f t="shared" si="9"/>
        <v/>
      </c>
    </row>
    <row r="150" spans="1:18" x14ac:dyDescent="0.25">
      <c r="A150" s="28" t="str">
        <f>IF('E-Mixed'!A150&lt;'Adj-Mixed'!$B$10,'E-Mixed'!B150," ")</f>
        <v xml:space="preserve"> </v>
      </c>
      <c r="B150" s="126" t="str">
        <f>IF('E-Mixed'!A150&lt;'Adj-Mixed'!$B$10,'E-Mixed'!A150," ")</f>
        <v xml:space="preserve"> </v>
      </c>
      <c r="C150" s="26" t="str">
        <f>IF('E-Mixed'!A150&lt;'Adj-Mixed'!$B$10,'E-Mixed'!C150," ")</f>
        <v xml:space="preserve"> </v>
      </c>
      <c r="D150" s="28" t="str">
        <f>IF('E-Mixed'!A150&lt;'Adj-Mixed'!$B$10,'E-Mixed'!G150," ")</f>
        <v xml:space="preserve"> </v>
      </c>
      <c r="E150" s="27" t="str">
        <f>IF('E-Mixed'!A150&lt;'Adj-Mixed'!$B$10,'E-Mixed'!D150," ")</f>
        <v xml:space="preserve"> </v>
      </c>
      <c r="F150" s="92"/>
      <c r="G150" s="92" t="str">
        <f t="shared" si="8"/>
        <v xml:space="preserve"> </v>
      </c>
      <c r="H150" s="28" t="str">
        <f>IF('E-Mixed'!A150&lt;'Adj-Mixed'!$B$10,'E-Mixed'!I150," ")</f>
        <v xml:space="preserve"> </v>
      </c>
      <c r="I150" s="126" t="str">
        <f>IF('E-Mixed'!A150&lt;'Adj-Mixed'!$B$10,'E-Mixed'!A150," ")</f>
        <v xml:space="preserve"> </v>
      </c>
      <c r="J150" s="26" t="str">
        <f>IF('E-Mixed'!A150&lt;'Adj-Mixed'!$B$10,'E-Mixed'!J150," ")</f>
        <v xml:space="preserve"> </v>
      </c>
      <c r="K150" s="28" t="str">
        <f>IF('E-Mixed'!A150&lt;'Adj-Mixed'!$B$10,'E-Mixed'!N150," ")</f>
        <v xml:space="preserve"> </v>
      </c>
      <c r="L150" s="27" t="str">
        <f>IF('E-Mixed'!A150&lt;'Adj-Mixed'!$B$10,'E-Mixed'!K150," ")</f>
        <v xml:space="preserve"> </v>
      </c>
      <c r="M150" s="31" t="str">
        <f>IF('E-Mixed'!A150&lt;'Adj-Mixed'!$B$10,'E-Mixed'!M150," ")</f>
        <v xml:space="preserve"> </v>
      </c>
      <c r="N150" t="str">
        <f>IF('E-Mixed'!A150&lt;'Adj-Mixed'!$B$10,1/L150," ")</f>
        <v xml:space="preserve"> </v>
      </c>
      <c r="O150" s="19"/>
      <c r="P150" t="str">
        <f t="shared" si="10"/>
        <v/>
      </c>
      <c r="Q150" t="str">
        <f t="shared" si="11"/>
        <v/>
      </c>
      <c r="R150" s="106" t="str">
        <f t="shared" si="9"/>
        <v/>
      </c>
    </row>
    <row r="151" spans="1:18" x14ac:dyDescent="0.25">
      <c r="A151" s="28" t="str">
        <f>IF('E-Mixed'!A151&lt;'Adj-Mixed'!$B$10,'E-Mixed'!B151," ")</f>
        <v xml:space="preserve"> </v>
      </c>
      <c r="B151" s="126" t="str">
        <f>IF('E-Mixed'!A151&lt;'Adj-Mixed'!$B$10,'E-Mixed'!A151," ")</f>
        <v xml:space="preserve"> </v>
      </c>
      <c r="C151" s="26" t="str">
        <f>IF('E-Mixed'!A151&lt;'Adj-Mixed'!$B$10,'E-Mixed'!C151," ")</f>
        <v xml:space="preserve"> </v>
      </c>
      <c r="D151" s="28" t="str">
        <f>IF('E-Mixed'!A151&lt;'Adj-Mixed'!$B$10,'E-Mixed'!G151," ")</f>
        <v xml:space="preserve"> </v>
      </c>
      <c r="E151" s="27" t="str">
        <f>IF('E-Mixed'!A151&lt;'Adj-Mixed'!$B$10,'E-Mixed'!D151," ")</f>
        <v xml:space="preserve"> </v>
      </c>
      <c r="F151" s="92"/>
      <c r="G151" s="92" t="str">
        <f t="shared" si="8"/>
        <v xml:space="preserve"> </v>
      </c>
      <c r="H151" s="28" t="str">
        <f>IF('E-Mixed'!A151&lt;'Adj-Mixed'!$B$10,'E-Mixed'!I151," ")</f>
        <v xml:space="preserve"> </v>
      </c>
      <c r="I151" s="126" t="str">
        <f>IF('E-Mixed'!A151&lt;'Adj-Mixed'!$B$10,'E-Mixed'!A151," ")</f>
        <v xml:space="preserve"> </v>
      </c>
      <c r="J151" s="26" t="str">
        <f>IF('E-Mixed'!A151&lt;'Adj-Mixed'!$B$10,'E-Mixed'!J151," ")</f>
        <v xml:space="preserve"> </v>
      </c>
      <c r="K151" s="28" t="str">
        <f>IF('E-Mixed'!A151&lt;'Adj-Mixed'!$B$10,'E-Mixed'!N151," ")</f>
        <v xml:space="preserve"> </v>
      </c>
      <c r="L151" s="27" t="str">
        <f>IF('E-Mixed'!A151&lt;'Adj-Mixed'!$B$10,'E-Mixed'!K151," ")</f>
        <v xml:space="preserve"> </v>
      </c>
      <c r="M151" s="31" t="str">
        <f>IF('E-Mixed'!A151&lt;'Adj-Mixed'!$B$10,'E-Mixed'!M151," ")</f>
        <v xml:space="preserve"> </v>
      </c>
      <c r="N151" t="str">
        <f>IF('E-Mixed'!A151&lt;'Adj-Mixed'!$B$10,1/L151," ")</f>
        <v xml:space="preserve"> </v>
      </c>
      <c r="O151" s="19"/>
      <c r="P151" t="str">
        <f t="shared" si="10"/>
        <v/>
      </c>
      <c r="Q151" t="str">
        <f t="shared" si="11"/>
        <v/>
      </c>
      <c r="R151" s="106" t="str">
        <f t="shared" si="9"/>
        <v/>
      </c>
    </row>
    <row r="152" spans="1:18" x14ac:dyDescent="0.25">
      <c r="A152" s="28" t="str">
        <f>IF('E-Mixed'!A152&lt;'Adj-Mixed'!$B$10,'E-Mixed'!B152," ")</f>
        <v xml:space="preserve"> </v>
      </c>
      <c r="B152" s="126" t="str">
        <f>IF('E-Mixed'!A152&lt;'Adj-Mixed'!$B$10,'E-Mixed'!A152," ")</f>
        <v xml:space="preserve"> </v>
      </c>
      <c r="C152" s="26" t="str">
        <f>IF('E-Mixed'!A152&lt;'Adj-Mixed'!$B$10,'E-Mixed'!C152," ")</f>
        <v xml:space="preserve"> </v>
      </c>
      <c r="D152" s="28" t="str">
        <f>IF('E-Mixed'!A152&lt;'Adj-Mixed'!$B$10,'E-Mixed'!G152," ")</f>
        <v xml:space="preserve"> </v>
      </c>
      <c r="E152" s="27" t="str">
        <f>IF('E-Mixed'!A152&lt;'Adj-Mixed'!$B$10,'E-Mixed'!D152," ")</f>
        <v xml:space="preserve"> </v>
      </c>
      <c r="F152" s="92"/>
      <c r="G152" s="92" t="str">
        <f t="shared" si="8"/>
        <v xml:space="preserve"> </v>
      </c>
      <c r="H152" s="28" t="str">
        <f>IF('E-Mixed'!A152&lt;'Adj-Mixed'!$B$10,'E-Mixed'!I152," ")</f>
        <v xml:space="preserve"> </v>
      </c>
      <c r="I152" s="126" t="str">
        <f>IF('E-Mixed'!A152&lt;'Adj-Mixed'!$B$10,'E-Mixed'!A152," ")</f>
        <v xml:space="preserve"> </v>
      </c>
      <c r="J152" s="26" t="str">
        <f>IF('E-Mixed'!A152&lt;'Adj-Mixed'!$B$10,'E-Mixed'!J152," ")</f>
        <v xml:space="preserve"> </v>
      </c>
      <c r="K152" s="28" t="str">
        <f>IF('E-Mixed'!A152&lt;'Adj-Mixed'!$B$10,'E-Mixed'!N152," ")</f>
        <v xml:space="preserve"> </v>
      </c>
      <c r="L152" s="27" t="str">
        <f>IF('E-Mixed'!A152&lt;'Adj-Mixed'!$B$10,'E-Mixed'!K152," ")</f>
        <v xml:space="preserve"> </v>
      </c>
      <c r="M152" s="31" t="str">
        <f>IF('E-Mixed'!A152&lt;'Adj-Mixed'!$B$10,'E-Mixed'!M152," ")</f>
        <v xml:space="preserve"> </v>
      </c>
      <c r="N152" t="str">
        <f>IF('E-Mixed'!A152&lt;'Adj-Mixed'!$B$10,1/L152," ")</f>
        <v xml:space="preserve"> </v>
      </c>
      <c r="O152" s="19"/>
      <c r="P152" t="str">
        <f t="shared" si="10"/>
        <v/>
      </c>
      <c r="Q152" t="str">
        <f t="shared" si="11"/>
        <v/>
      </c>
      <c r="R152" s="106" t="str">
        <f t="shared" si="9"/>
        <v/>
      </c>
    </row>
    <row r="153" spans="1:18" x14ac:dyDescent="0.25">
      <c r="A153" s="28" t="str">
        <f>IF('E-Mixed'!A153&lt;'Adj-Mixed'!$B$10,'E-Mixed'!B153," ")</f>
        <v xml:space="preserve"> </v>
      </c>
      <c r="B153" s="126" t="str">
        <f>IF('E-Mixed'!A153&lt;'Adj-Mixed'!$B$10,'E-Mixed'!A153," ")</f>
        <v xml:space="preserve"> </v>
      </c>
      <c r="C153" s="26" t="str">
        <f>IF('E-Mixed'!A153&lt;'Adj-Mixed'!$B$10,'E-Mixed'!C153," ")</f>
        <v xml:space="preserve"> </v>
      </c>
      <c r="D153" s="28" t="str">
        <f>IF('E-Mixed'!A153&lt;'Adj-Mixed'!$B$10,'E-Mixed'!G153," ")</f>
        <v xml:space="preserve"> </v>
      </c>
      <c r="E153" s="27" t="str">
        <f>IF('E-Mixed'!A153&lt;'Adj-Mixed'!$B$10,'E-Mixed'!D153," ")</f>
        <v xml:space="preserve"> </v>
      </c>
      <c r="F153" s="92"/>
      <c r="G153" s="92" t="str">
        <f t="shared" si="8"/>
        <v xml:space="preserve"> </v>
      </c>
      <c r="H153" s="28" t="str">
        <f>IF('E-Mixed'!A153&lt;'Adj-Mixed'!$B$10,'E-Mixed'!I153," ")</f>
        <v xml:space="preserve"> </v>
      </c>
      <c r="I153" s="126" t="str">
        <f>IF('E-Mixed'!A153&lt;'Adj-Mixed'!$B$10,'E-Mixed'!A153," ")</f>
        <v xml:space="preserve"> </v>
      </c>
      <c r="J153" s="26" t="str">
        <f>IF('E-Mixed'!A153&lt;'Adj-Mixed'!$B$10,'E-Mixed'!J153," ")</f>
        <v xml:space="preserve"> </v>
      </c>
      <c r="K153" s="28" t="str">
        <f>IF('E-Mixed'!A153&lt;'Adj-Mixed'!$B$10,'E-Mixed'!N153," ")</f>
        <v xml:space="preserve"> </v>
      </c>
      <c r="L153" s="27" t="str">
        <f>IF('E-Mixed'!A153&lt;'Adj-Mixed'!$B$10,'E-Mixed'!K153," ")</f>
        <v xml:space="preserve"> </v>
      </c>
      <c r="M153" s="31" t="str">
        <f>IF('E-Mixed'!A153&lt;'Adj-Mixed'!$B$10,'E-Mixed'!M153," ")</f>
        <v xml:space="preserve"> </v>
      </c>
      <c r="N153" t="str">
        <f>IF('E-Mixed'!A153&lt;'Adj-Mixed'!$B$10,1/L153," ")</f>
        <v xml:space="preserve"> </v>
      </c>
      <c r="O153" s="19"/>
      <c r="P153" t="str">
        <f t="shared" si="10"/>
        <v/>
      </c>
      <c r="Q153" t="str">
        <f t="shared" si="11"/>
        <v/>
      </c>
      <c r="R153" s="106" t="str">
        <f t="shared" si="9"/>
        <v/>
      </c>
    </row>
    <row r="154" spans="1:18" x14ac:dyDescent="0.25">
      <c r="A154" s="28" t="str">
        <f>IF('E-Mixed'!A154&lt;'Adj-Mixed'!$B$10,'E-Mixed'!B154," ")</f>
        <v xml:space="preserve"> </v>
      </c>
      <c r="B154" s="126" t="str">
        <f>IF('E-Mixed'!A154&lt;'Adj-Mixed'!$B$10,'E-Mixed'!A154," ")</f>
        <v xml:space="preserve"> </v>
      </c>
      <c r="C154" s="26" t="str">
        <f>IF('E-Mixed'!A154&lt;'Adj-Mixed'!$B$10,'E-Mixed'!C154," ")</f>
        <v xml:space="preserve"> </v>
      </c>
      <c r="D154" s="28" t="str">
        <f>IF('E-Mixed'!A154&lt;'Adj-Mixed'!$B$10,'E-Mixed'!G154," ")</f>
        <v xml:space="preserve"> </v>
      </c>
      <c r="E154" s="27" t="str">
        <f>IF('E-Mixed'!A154&lt;'Adj-Mixed'!$B$10,'E-Mixed'!D154," ")</f>
        <v xml:space="preserve"> </v>
      </c>
      <c r="F154" s="92"/>
      <c r="G154" s="92" t="str">
        <f t="shared" si="8"/>
        <v xml:space="preserve"> </v>
      </c>
      <c r="H154" s="28" t="str">
        <f>IF('E-Mixed'!A154&lt;'Adj-Mixed'!$B$10,'E-Mixed'!I154," ")</f>
        <v xml:space="preserve"> </v>
      </c>
      <c r="I154" s="126" t="str">
        <f>IF('E-Mixed'!A154&lt;'Adj-Mixed'!$B$10,'E-Mixed'!A154," ")</f>
        <v xml:space="preserve"> </v>
      </c>
      <c r="J154" s="26" t="str">
        <f>IF('E-Mixed'!A154&lt;'Adj-Mixed'!$B$10,'E-Mixed'!J154," ")</f>
        <v xml:space="preserve"> </v>
      </c>
      <c r="K154" s="28" t="str">
        <f>IF('E-Mixed'!A154&lt;'Adj-Mixed'!$B$10,'E-Mixed'!N154," ")</f>
        <v xml:space="preserve"> </v>
      </c>
      <c r="L154" s="27" t="str">
        <f>IF('E-Mixed'!A154&lt;'Adj-Mixed'!$B$10,'E-Mixed'!K154," ")</f>
        <v xml:space="preserve"> </v>
      </c>
      <c r="M154" s="31" t="str">
        <f>IF('E-Mixed'!A154&lt;'Adj-Mixed'!$B$10,'E-Mixed'!M154," ")</f>
        <v xml:space="preserve"> </v>
      </c>
      <c r="N154" t="str">
        <f>IF('E-Mixed'!A154&lt;'Adj-Mixed'!$B$10,1/L154," ")</f>
        <v xml:space="preserve"> </v>
      </c>
      <c r="O154" s="19"/>
      <c r="P154" t="str">
        <f t="shared" si="10"/>
        <v/>
      </c>
      <c r="Q154" t="str">
        <f t="shared" si="11"/>
        <v/>
      </c>
      <c r="R154" s="106" t="str">
        <f t="shared" si="9"/>
        <v/>
      </c>
    </row>
    <row r="155" spans="1:18" x14ac:dyDescent="0.25">
      <c r="A155" s="28" t="str">
        <f>IF('E-Mixed'!A155&lt;'Adj-Mixed'!$B$10,'E-Mixed'!B155," ")</f>
        <v xml:space="preserve"> </v>
      </c>
      <c r="B155" s="126" t="str">
        <f>IF('E-Mixed'!A155&lt;'Adj-Mixed'!$B$10,'E-Mixed'!A155," ")</f>
        <v xml:space="preserve"> </v>
      </c>
      <c r="C155" s="26" t="str">
        <f>IF('E-Mixed'!A155&lt;'Adj-Mixed'!$B$10,'E-Mixed'!C155," ")</f>
        <v xml:space="preserve"> </v>
      </c>
      <c r="D155" s="28" t="str">
        <f>IF('E-Mixed'!A155&lt;'Adj-Mixed'!$B$10,'E-Mixed'!G155," ")</f>
        <v xml:space="preserve"> </v>
      </c>
      <c r="E155" s="27" t="str">
        <f>IF('E-Mixed'!A155&lt;'Adj-Mixed'!$B$10,'E-Mixed'!D155," ")</f>
        <v xml:space="preserve"> </v>
      </c>
      <c r="F155" s="92"/>
      <c r="G155" s="92" t="str">
        <f t="shared" si="8"/>
        <v xml:space="preserve"> </v>
      </c>
      <c r="H155" s="28" t="str">
        <f>IF('E-Mixed'!A155&lt;'Adj-Mixed'!$B$10,'E-Mixed'!I155," ")</f>
        <v xml:space="preserve"> </v>
      </c>
      <c r="I155" s="126" t="str">
        <f>IF('E-Mixed'!A155&lt;'Adj-Mixed'!$B$10,'E-Mixed'!A155," ")</f>
        <v xml:space="preserve"> </v>
      </c>
      <c r="J155" s="26" t="str">
        <f>IF('E-Mixed'!A155&lt;'Adj-Mixed'!$B$10,'E-Mixed'!J155," ")</f>
        <v xml:space="preserve"> </v>
      </c>
      <c r="K155" s="28" t="str">
        <f>IF('E-Mixed'!A155&lt;'Adj-Mixed'!$B$10,'E-Mixed'!N155," ")</f>
        <v xml:space="preserve"> </v>
      </c>
      <c r="L155" s="27" t="str">
        <f>IF('E-Mixed'!A155&lt;'Adj-Mixed'!$B$10,'E-Mixed'!K155," ")</f>
        <v xml:space="preserve"> </v>
      </c>
      <c r="M155" s="31" t="str">
        <f>IF('E-Mixed'!A155&lt;'Adj-Mixed'!$B$10,'E-Mixed'!M155," ")</f>
        <v xml:space="preserve"> </v>
      </c>
      <c r="N155" t="str">
        <f>IF('E-Mixed'!A155&lt;'Adj-Mixed'!$B$10,1/L155," ")</f>
        <v xml:space="preserve"> </v>
      </c>
      <c r="O155" s="19"/>
      <c r="P155" t="str">
        <f t="shared" si="10"/>
        <v/>
      </c>
      <c r="Q155" t="str">
        <f t="shared" si="11"/>
        <v/>
      </c>
      <c r="R155" s="106" t="str">
        <f t="shared" si="9"/>
        <v/>
      </c>
    </row>
    <row r="156" spans="1:18" x14ac:dyDescent="0.25">
      <c r="A156" s="28" t="str">
        <f>IF('E-Mixed'!A156&lt;'Adj-Mixed'!$B$10,'E-Mixed'!B156," ")</f>
        <v xml:space="preserve"> </v>
      </c>
      <c r="B156" s="126" t="str">
        <f>IF('E-Mixed'!A156&lt;'Adj-Mixed'!$B$10,'E-Mixed'!A156," ")</f>
        <v xml:space="preserve"> </v>
      </c>
      <c r="C156" s="26" t="str">
        <f>IF('E-Mixed'!A156&lt;'Adj-Mixed'!$B$10,'E-Mixed'!C156," ")</f>
        <v xml:space="preserve"> </v>
      </c>
      <c r="D156" s="28" t="str">
        <f>IF('E-Mixed'!A156&lt;'Adj-Mixed'!$B$10,'E-Mixed'!G156," ")</f>
        <v xml:space="preserve"> </v>
      </c>
      <c r="E156" s="27" t="str">
        <f>IF('E-Mixed'!A156&lt;'Adj-Mixed'!$B$10,'E-Mixed'!D156," ")</f>
        <v xml:space="preserve"> </v>
      </c>
      <c r="F156" s="92"/>
      <c r="G156" s="92" t="str">
        <f t="shared" si="8"/>
        <v xml:space="preserve"> </v>
      </c>
      <c r="H156" s="28" t="str">
        <f>IF('E-Mixed'!A156&lt;'Adj-Mixed'!$B$10,'E-Mixed'!I156," ")</f>
        <v xml:space="preserve"> </v>
      </c>
      <c r="I156" s="126" t="str">
        <f>IF('E-Mixed'!A156&lt;'Adj-Mixed'!$B$10,'E-Mixed'!A156," ")</f>
        <v xml:space="preserve"> </v>
      </c>
      <c r="J156" s="26" t="str">
        <f>IF('E-Mixed'!A156&lt;'Adj-Mixed'!$B$10,'E-Mixed'!J156," ")</f>
        <v xml:space="preserve"> </v>
      </c>
      <c r="K156" s="28" t="str">
        <f>IF('E-Mixed'!A156&lt;'Adj-Mixed'!$B$10,'E-Mixed'!N156," ")</f>
        <v xml:space="preserve"> </v>
      </c>
      <c r="L156" s="27" t="str">
        <f>IF('E-Mixed'!A156&lt;'Adj-Mixed'!$B$10,'E-Mixed'!K156," ")</f>
        <v xml:space="preserve"> </v>
      </c>
      <c r="M156" s="31" t="str">
        <f>IF('E-Mixed'!A156&lt;'Adj-Mixed'!$B$10,'E-Mixed'!M156," ")</f>
        <v xml:space="preserve"> </v>
      </c>
      <c r="N156" t="str">
        <f>IF('E-Mixed'!A156&lt;'Adj-Mixed'!$B$10,1/L156," ")</f>
        <v xml:space="preserve"> </v>
      </c>
      <c r="O156" s="19"/>
      <c r="P156" t="str">
        <f t="shared" si="10"/>
        <v/>
      </c>
      <c r="Q156" t="str">
        <f t="shared" si="11"/>
        <v/>
      </c>
      <c r="R156" s="106" t="str">
        <f t="shared" si="9"/>
        <v/>
      </c>
    </row>
    <row r="157" spans="1:18" x14ac:dyDescent="0.25">
      <c r="A157" s="28" t="str">
        <f>IF('E-Mixed'!A157&lt;'Adj-Mixed'!$B$10,'E-Mixed'!B157," ")</f>
        <v xml:space="preserve"> </v>
      </c>
      <c r="B157" s="126" t="str">
        <f>IF('E-Mixed'!A157&lt;'Adj-Mixed'!$B$10,'E-Mixed'!A157," ")</f>
        <v xml:space="preserve"> </v>
      </c>
      <c r="C157" s="26" t="str">
        <f>IF('E-Mixed'!A157&lt;'Adj-Mixed'!$B$10,'E-Mixed'!C157," ")</f>
        <v xml:space="preserve"> </v>
      </c>
      <c r="D157" s="28" t="str">
        <f>IF('E-Mixed'!A157&lt;'Adj-Mixed'!$B$10,'E-Mixed'!G157," ")</f>
        <v xml:space="preserve"> </v>
      </c>
      <c r="E157" s="27" t="str">
        <f>IF('E-Mixed'!A157&lt;'Adj-Mixed'!$B$10,'E-Mixed'!D157," ")</f>
        <v xml:space="preserve"> </v>
      </c>
      <c r="F157" s="92"/>
      <c r="G157" s="92" t="str">
        <f t="shared" si="8"/>
        <v xml:space="preserve"> </v>
      </c>
      <c r="H157" s="28" t="str">
        <f>IF('E-Mixed'!A157&lt;'Adj-Mixed'!$B$10,'E-Mixed'!I157," ")</f>
        <v xml:space="preserve"> </v>
      </c>
      <c r="I157" s="126" t="str">
        <f>IF('E-Mixed'!A157&lt;'Adj-Mixed'!$B$10,'E-Mixed'!A157," ")</f>
        <v xml:space="preserve"> </v>
      </c>
      <c r="J157" s="26" t="str">
        <f>IF('E-Mixed'!A157&lt;'Adj-Mixed'!$B$10,'E-Mixed'!J157," ")</f>
        <v xml:space="preserve"> </v>
      </c>
      <c r="K157" s="28" t="str">
        <f>IF('E-Mixed'!A157&lt;'Adj-Mixed'!$B$10,'E-Mixed'!N157," ")</f>
        <v xml:space="preserve"> </v>
      </c>
      <c r="L157" s="27" t="str">
        <f>IF('E-Mixed'!A157&lt;'Adj-Mixed'!$B$10,'E-Mixed'!K157," ")</f>
        <v xml:space="preserve"> </v>
      </c>
      <c r="M157" s="31" t="str">
        <f>IF('E-Mixed'!A157&lt;'Adj-Mixed'!$B$10,'E-Mixed'!M157," ")</f>
        <v xml:space="preserve"> </v>
      </c>
      <c r="N157" t="str">
        <f>IF('E-Mixed'!A157&lt;'Adj-Mixed'!$B$10,1/L157," ")</f>
        <v xml:space="preserve"> </v>
      </c>
      <c r="O157" s="19"/>
      <c r="P157" t="str">
        <f t="shared" si="10"/>
        <v/>
      </c>
      <c r="Q157" t="str">
        <f t="shared" si="11"/>
        <v/>
      </c>
      <c r="R157" s="106" t="str">
        <f t="shared" si="9"/>
        <v/>
      </c>
    </row>
    <row r="158" spans="1:18" x14ac:dyDescent="0.25">
      <c r="A158" s="28" t="str">
        <f>IF('E-Mixed'!A158&lt;'Adj-Mixed'!$B$10,'E-Mixed'!B158," ")</f>
        <v xml:space="preserve"> </v>
      </c>
      <c r="B158" s="126" t="str">
        <f>IF('E-Mixed'!A158&lt;'Adj-Mixed'!$B$10,'E-Mixed'!A158," ")</f>
        <v xml:space="preserve"> </v>
      </c>
      <c r="C158" s="26" t="str">
        <f>IF('E-Mixed'!A158&lt;'Adj-Mixed'!$B$10,'E-Mixed'!C158," ")</f>
        <v xml:space="preserve"> </v>
      </c>
      <c r="D158" s="28" t="str">
        <f>IF('E-Mixed'!A158&lt;'Adj-Mixed'!$B$10,'E-Mixed'!G158," ")</f>
        <v xml:space="preserve"> </v>
      </c>
      <c r="E158" s="27" t="str">
        <f>IF('E-Mixed'!A158&lt;'Adj-Mixed'!$B$10,'E-Mixed'!D158," ")</f>
        <v xml:space="preserve"> </v>
      </c>
      <c r="F158" s="92"/>
      <c r="G158" s="92" t="str">
        <f t="shared" si="8"/>
        <v xml:space="preserve"> </v>
      </c>
      <c r="H158" s="28" t="str">
        <f>IF('E-Mixed'!A158&lt;'Adj-Mixed'!$B$10,'E-Mixed'!I158," ")</f>
        <v xml:space="preserve"> </v>
      </c>
      <c r="I158" s="126" t="str">
        <f>IF('E-Mixed'!A158&lt;'Adj-Mixed'!$B$10,'E-Mixed'!A158," ")</f>
        <v xml:space="preserve"> </v>
      </c>
      <c r="J158" s="26" t="str">
        <f>IF('E-Mixed'!A158&lt;'Adj-Mixed'!$B$10,'E-Mixed'!J158," ")</f>
        <v xml:space="preserve"> </v>
      </c>
      <c r="K158" s="28" t="str">
        <f>IF('E-Mixed'!A158&lt;'Adj-Mixed'!$B$10,'E-Mixed'!N158," ")</f>
        <v xml:space="preserve"> </v>
      </c>
      <c r="L158" s="27" t="str">
        <f>IF('E-Mixed'!A158&lt;'Adj-Mixed'!$B$10,'E-Mixed'!K158," ")</f>
        <v xml:space="preserve"> </v>
      </c>
      <c r="M158" s="31" t="str">
        <f>IF('E-Mixed'!A158&lt;'Adj-Mixed'!$B$10,'E-Mixed'!M158," ")</f>
        <v xml:space="preserve"> </v>
      </c>
      <c r="N158" t="str">
        <f>IF('E-Mixed'!A158&lt;'Adj-Mixed'!$B$10,1/L158," ")</f>
        <v xml:space="preserve"> </v>
      </c>
      <c r="O158" s="19"/>
      <c r="P158" t="str">
        <f t="shared" si="10"/>
        <v/>
      </c>
      <c r="Q158" t="str">
        <f t="shared" si="11"/>
        <v/>
      </c>
      <c r="R158" s="106" t="str">
        <f t="shared" si="9"/>
        <v/>
      </c>
    </row>
    <row r="159" spans="1:18" x14ac:dyDescent="0.25">
      <c r="A159" s="28" t="str">
        <f>IF('E-Mixed'!A159&lt;'Adj-Mixed'!$B$10,'E-Mixed'!B159," ")</f>
        <v xml:space="preserve"> </v>
      </c>
      <c r="B159" s="126" t="str">
        <f>IF('E-Mixed'!A159&lt;'Adj-Mixed'!$B$10,'E-Mixed'!A159," ")</f>
        <v xml:space="preserve"> </v>
      </c>
      <c r="C159" s="26" t="str">
        <f>IF('E-Mixed'!A159&lt;'Adj-Mixed'!$B$10,'E-Mixed'!C159," ")</f>
        <v xml:space="preserve"> </v>
      </c>
      <c r="D159" s="28" t="str">
        <f>IF('E-Mixed'!A159&lt;'Adj-Mixed'!$B$10,'E-Mixed'!G159," ")</f>
        <v xml:space="preserve"> </v>
      </c>
      <c r="E159" s="27" t="str">
        <f>IF('E-Mixed'!A159&lt;'Adj-Mixed'!$B$10,'E-Mixed'!D159," ")</f>
        <v xml:space="preserve"> </v>
      </c>
      <c r="F159" s="92"/>
      <c r="G159" s="92" t="str">
        <f t="shared" si="8"/>
        <v xml:space="preserve"> </v>
      </c>
      <c r="H159" s="28" t="str">
        <f>IF('E-Mixed'!A159&lt;'Adj-Mixed'!$B$10,'E-Mixed'!I159," ")</f>
        <v xml:space="preserve"> </v>
      </c>
      <c r="I159" s="126" t="str">
        <f>IF('E-Mixed'!A159&lt;'Adj-Mixed'!$B$10,'E-Mixed'!A159," ")</f>
        <v xml:space="preserve"> </v>
      </c>
      <c r="J159" s="26" t="str">
        <f>IF('E-Mixed'!A159&lt;'Adj-Mixed'!$B$10,'E-Mixed'!J159," ")</f>
        <v xml:space="preserve"> </v>
      </c>
      <c r="K159" s="28" t="str">
        <f>IF('E-Mixed'!A159&lt;'Adj-Mixed'!$B$10,'E-Mixed'!N159," ")</f>
        <v xml:space="preserve"> </v>
      </c>
      <c r="L159" s="27" t="str">
        <f>IF('E-Mixed'!A159&lt;'Adj-Mixed'!$B$10,'E-Mixed'!K159," ")</f>
        <v xml:space="preserve"> </v>
      </c>
      <c r="M159" s="31" t="str">
        <f>IF('E-Mixed'!A159&lt;'Adj-Mixed'!$B$10,'E-Mixed'!M159," ")</f>
        <v xml:space="preserve"> </v>
      </c>
      <c r="N159" t="str">
        <f>IF('E-Mixed'!A159&lt;'Adj-Mixed'!$B$10,1/L159," ")</f>
        <v xml:space="preserve"> </v>
      </c>
      <c r="O159" s="19"/>
      <c r="P159" t="str">
        <f t="shared" si="10"/>
        <v/>
      </c>
      <c r="Q159" t="str">
        <f t="shared" si="11"/>
        <v/>
      </c>
      <c r="R159" s="106" t="str">
        <f t="shared" si="9"/>
        <v/>
      </c>
    </row>
    <row r="160" spans="1:18" x14ac:dyDescent="0.25">
      <c r="A160" s="28" t="str">
        <f>IF('E-Mixed'!A160&lt;'Adj-Mixed'!$B$10,'E-Mixed'!B160," ")</f>
        <v xml:space="preserve"> </v>
      </c>
      <c r="B160" s="126" t="str">
        <f>IF('E-Mixed'!A160&lt;'Adj-Mixed'!$B$10,'E-Mixed'!A160," ")</f>
        <v xml:space="preserve"> </v>
      </c>
      <c r="C160" s="26" t="str">
        <f>IF('E-Mixed'!A160&lt;'Adj-Mixed'!$B$10,'E-Mixed'!C160," ")</f>
        <v xml:space="preserve"> </v>
      </c>
      <c r="D160" s="28" t="str">
        <f>IF('E-Mixed'!A160&lt;'Adj-Mixed'!$B$10,'E-Mixed'!G160," ")</f>
        <v xml:space="preserve"> </v>
      </c>
      <c r="E160" s="27" t="str">
        <f>IF('E-Mixed'!A160&lt;'Adj-Mixed'!$B$10,'E-Mixed'!D160," ")</f>
        <v xml:space="preserve"> </v>
      </c>
      <c r="F160" s="92"/>
      <c r="G160" s="92" t="str">
        <f t="shared" si="8"/>
        <v xml:space="preserve"> </v>
      </c>
      <c r="H160" s="28" t="str">
        <f>IF('E-Mixed'!A160&lt;'Adj-Mixed'!$B$10,'E-Mixed'!I160," ")</f>
        <v xml:space="preserve"> </v>
      </c>
      <c r="I160" s="126" t="str">
        <f>IF('E-Mixed'!A160&lt;'Adj-Mixed'!$B$10,'E-Mixed'!A160," ")</f>
        <v xml:space="preserve"> </v>
      </c>
      <c r="J160" s="26" t="str">
        <f>IF('E-Mixed'!A160&lt;'Adj-Mixed'!$B$10,'E-Mixed'!J160," ")</f>
        <v xml:space="preserve"> </v>
      </c>
      <c r="K160" s="28" t="str">
        <f>IF('E-Mixed'!A160&lt;'Adj-Mixed'!$B$10,'E-Mixed'!N160," ")</f>
        <v xml:space="preserve"> </v>
      </c>
      <c r="L160" s="27" t="str">
        <f>IF('E-Mixed'!A160&lt;'Adj-Mixed'!$B$10,'E-Mixed'!K160," ")</f>
        <v xml:space="preserve"> </v>
      </c>
      <c r="M160" s="31" t="str">
        <f>IF('E-Mixed'!A160&lt;'Adj-Mixed'!$B$10,'E-Mixed'!M160," ")</f>
        <v xml:space="preserve"> </v>
      </c>
      <c r="N160" t="str">
        <f>IF('E-Mixed'!A160&lt;'Adj-Mixed'!$B$10,1/L160," ")</f>
        <v xml:space="preserve"> </v>
      </c>
      <c r="O160" s="19"/>
      <c r="P160" t="str">
        <f t="shared" si="10"/>
        <v/>
      </c>
      <c r="Q160" t="str">
        <f t="shared" si="11"/>
        <v/>
      </c>
      <c r="R160" s="106" t="str">
        <f t="shared" si="9"/>
        <v/>
      </c>
    </row>
    <row r="161" spans="1:18" x14ac:dyDescent="0.25">
      <c r="A161" s="28" t="str">
        <f>IF('E-Mixed'!A161&lt;'Adj-Mixed'!$B$10,'E-Mixed'!B161," ")</f>
        <v xml:space="preserve"> </v>
      </c>
      <c r="B161" s="126" t="str">
        <f>IF('E-Mixed'!A161&lt;'Adj-Mixed'!$B$10,'E-Mixed'!A161," ")</f>
        <v xml:space="preserve"> </v>
      </c>
      <c r="C161" s="26" t="str">
        <f>IF('E-Mixed'!A161&lt;'Adj-Mixed'!$B$10,'E-Mixed'!C161," ")</f>
        <v xml:space="preserve"> </v>
      </c>
      <c r="D161" s="28" t="str">
        <f>IF('E-Mixed'!A161&lt;'Adj-Mixed'!$B$10,'E-Mixed'!G161," ")</f>
        <v xml:space="preserve"> </v>
      </c>
      <c r="E161" s="27" t="str">
        <f>IF('E-Mixed'!A161&lt;'Adj-Mixed'!$B$10,'E-Mixed'!D161," ")</f>
        <v xml:space="preserve"> </v>
      </c>
      <c r="F161" s="92"/>
      <c r="G161" s="92" t="str">
        <f t="shared" si="8"/>
        <v xml:space="preserve"> </v>
      </c>
      <c r="H161" s="28" t="str">
        <f>IF('E-Mixed'!A161&lt;'Adj-Mixed'!$B$10,'E-Mixed'!I161," ")</f>
        <v xml:space="preserve"> </v>
      </c>
      <c r="I161" s="126" t="str">
        <f>IF('E-Mixed'!A161&lt;'Adj-Mixed'!$B$10,'E-Mixed'!A161," ")</f>
        <v xml:space="preserve"> </v>
      </c>
      <c r="J161" s="26" t="str">
        <f>IF('E-Mixed'!A161&lt;'Adj-Mixed'!$B$10,'E-Mixed'!J161," ")</f>
        <v xml:space="preserve"> </v>
      </c>
      <c r="K161" s="28" t="str">
        <f>IF('E-Mixed'!A161&lt;'Adj-Mixed'!$B$10,'E-Mixed'!N161," ")</f>
        <v xml:space="preserve"> </v>
      </c>
      <c r="L161" s="27" t="str">
        <f>IF('E-Mixed'!A161&lt;'Adj-Mixed'!$B$10,'E-Mixed'!K161," ")</f>
        <v xml:space="preserve"> </v>
      </c>
      <c r="M161" s="31" t="str">
        <f>IF('E-Mixed'!A161&lt;'Adj-Mixed'!$B$10,'E-Mixed'!M161," ")</f>
        <v xml:space="preserve"> </v>
      </c>
      <c r="N161" t="str">
        <f>IF('E-Mixed'!A161&lt;'Adj-Mixed'!$B$10,1/L161," ")</f>
        <v xml:space="preserve"> </v>
      </c>
      <c r="O161" s="19"/>
      <c r="P161" t="str">
        <f t="shared" si="10"/>
        <v/>
      </c>
      <c r="Q161" t="str">
        <f t="shared" si="11"/>
        <v/>
      </c>
      <c r="R161" s="106" t="str">
        <f t="shared" si="9"/>
        <v/>
      </c>
    </row>
    <row r="162" spans="1:18" x14ac:dyDescent="0.25">
      <c r="A162" s="28" t="str">
        <f>IF('E-Mixed'!A162&lt;'Adj-Mixed'!$B$10,'E-Mixed'!B162," ")</f>
        <v xml:space="preserve"> </v>
      </c>
      <c r="B162" s="126" t="str">
        <f>IF('E-Mixed'!A162&lt;'Adj-Mixed'!$B$10,'E-Mixed'!A162," ")</f>
        <v xml:space="preserve"> </v>
      </c>
      <c r="C162" s="26" t="str">
        <f>IF('E-Mixed'!A162&lt;'Adj-Mixed'!$B$10,'E-Mixed'!C162," ")</f>
        <v xml:space="preserve"> </v>
      </c>
      <c r="D162" s="28" t="str">
        <f>IF('E-Mixed'!A162&lt;'Adj-Mixed'!$B$10,'E-Mixed'!G162," ")</f>
        <v xml:space="preserve"> </v>
      </c>
      <c r="E162" s="27" t="str">
        <f>IF('E-Mixed'!A162&lt;'Adj-Mixed'!$B$10,'E-Mixed'!D162," ")</f>
        <v xml:space="preserve"> </v>
      </c>
      <c r="F162" s="92"/>
      <c r="G162" s="92" t="str">
        <f t="shared" si="8"/>
        <v xml:space="preserve"> </v>
      </c>
      <c r="H162" s="28" t="str">
        <f>IF('E-Mixed'!A162&lt;'Adj-Mixed'!$B$10,'E-Mixed'!I162," ")</f>
        <v xml:space="preserve"> </v>
      </c>
      <c r="I162" s="126" t="str">
        <f>IF('E-Mixed'!A162&lt;'Adj-Mixed'!$B$10,'E-Mixed'!A162," ")</f>
        <v xml:space="preserve"> </v>
      </c>
      <c r="J162" s="26" t="str">
        <f>IF('E-Mixed'!A162&lt;'Adj-Mixed'!$B$10,'E-Mixed'!J162," ")</f>
        <v xml:space="preserve"> </v>
      </c>
      <c r="K162" s="28" t="str">
        <f>IF('E-Mixed'!A162&lt;'Adj-Mixed'!$B$10,'E-Mixed'!N162," ")</f>
        <v xml:space="preserve"> </v>
      </c>
      <c r="L162" s="27" t="str">
        <f>IF('E-Mixed'!A162&lt;'Adj-Mixed'!$B$10,'E-Mixed'!K162," ")</f>
        <v xml:space="preserve"> </v>
      </c>
      <c r="M162" s="31" t="str">
        <f>IF('E-Mixed'!A162&lt;'Adj-Mixed'!$B$10,'E-Mixed'!M162," ")</f>
        <v xml:space="preserve"> </v>
      </c>
      <c r="N162" t="str">
        <f>IF('E-Mixed'!A162&lt;'Adj-Mixed'!$B$10,1/L162," ")</f>
        <v xml:space="preserve"> </v>
      </c>
      <c r="P162" t="str">
        <f t="shared" si="10"/>
        <v/>
      </c>
      <c r="Q162" t="str">
        <f t="shared" si="11"/>
        <v/>
      </c>
      <c r="R162" s="106" t="str">
        <f t="shared" si="9"/>
        <v/>
      </c>
    </row>
    <row r="163" spans="1:18" x14ac:dyDescent="0.25">
      <c r="A163" s="28" t="str">
        <f>IF('E-Mixed'!A163&lt;'Adj-Mixed'!$B$10,'E-Mixed'!B163," ")</f>
        <v xml:space="preserve"> </v>
      </c>
      <c r="B163" s="126" t="str">
        <f>IF('E-Mixed'!A163&lt;'Adj-Mixed'!$B$10,'E-Mixed'!A163," ")</f>
        <v xml:space="preserve"> </v>
      </c>
      <c r="C163" s="26" t="str">
        <f>IF('E-Mixed'!A163&lt;'Adj-Mixed'!$B$10,'E-Mixed'!C163," ")</f>
        <v xml:space="preserve"> </v>
      </c>
      <c r="D163" s="28" t="str">
        <f>IF('E-Mixed'!A163&lt;'Adj-Mixed'!$B$10,'E-Mixed'!G163," ")</f>
        <v xml:space="preserve"> </v>
      </c>
      <c r="E163" s="27" t="str">
        <f>IF('E-Mixed'!A163&lt;'Adj-Mixed'!$B$10,'E-Mixed'!D163," ")</f>
        <v xml:space="preserve"> </v>
      </c>
      <c r="F163" s="92"/>
      <c r="G163" s="92" t="str">
        <f t="shared" si="8"/>
        <v xml:space="preserve"> </v>
      </c>
      <c r="H163" s="28" t="str">
        <f>IF('E-Mixed'!A163&lt;'Adj-Mixed'!$B$10,'E-Mixed'!I163," ")</f>
        <v xml:space="preserve"> </v>
      </c>
      <c r="I163" s="126" t="str">
        <f>IF('E-Mixed'!A163&lt;'Adj-Mixed'!$B$10,'E-Mixed'!A163," ")</f>
        <v xml:space="preserve"> </v>
      </c>
      <c r="J163" s="26" t="str">
        <f>IF('E-Mixed'!A163&lt;'Adj-Mixed'!$B$10,'E-Mixed'!J163," ")</f>
        <v xml:space="preserve"> </v>
      </c>
      <c r="K163" s="28" t="str">
        <f>IF('E-Mixed'!A163&lt;'Adj-Mixed'!$B$10,'E-Mixed'!N163," ")</f>
        <v xml:space="preserve"> </v>
      </c>
      <c r="L163" s="27" t="str">
        <f>IF('E-Mixed'!A163&lt;'Adj-Mixed'!$B$10,'E-Mixed'!K163," ")</f>
        <v xml:space="preserve"> </v>
      </c>
      <c r="M163" s="31" t="str">
        <f>IF('E-Mixed'!A163&lt;'Adj-Mixed'!$B$10,'E-Mixed'!M163," ")</f>
        <v xml:space="preserve"> </v>
      </c>
      <c r="N163" t="str">
        <f>IF('E-Mixed'!A163&lt;'Adj-Mixed'!$B$10,1/L163," ")</f>
        <v xml:space="preserve"> </v>
      </c>
      <c r="P163" t="str">
        <f t="shared" si="10"/>
        <v/>
      </c>
      <c r="Q163" t="str">
        <f t="shared" si="11"/>
        <v/>
      </c>
      <c r="R163" s="106" t="str">
        <f t="shared" si="9"/>
        <v/>
      </c>
    </row>
    <row r="164" spans="1:18" x14ac:dyDescent="0.25">
      <c r="A164" s="28" t="str">
        <f>IF('E-Mixed'!A164&lt;'Adj-Mixed'!$B$10,'E-Mixed'!B164," ")</f>
        <v xml:space="preserve"> </v>
      </c>
      <c r="B164" s="126" t="str">
        <f>IF('E-Mixed'!A164&lt;'Adj-Mixed'!$B$10,'E-Mixed'!A164," ")</f>
        <v xml:space="preserve"> </v>
      </c>
      <c r="C164" s="26" t="str">
        <f>IF('E-Mixed'!A164&lt;'Adj-Mixed'!$B$10,'E-Mixed'!C164," ")</f>
        <v xml:space="preserve"> </v>
      </c>
      <c r="D164" s="28" t="str">
        <f>IF('E-Mixed'!A164&lt;'Adj-Mixed'!$B$10,'E-Mixed'!G164," ")</f>
        <v xml:space="preserve"> </v>
      </c>
      <c r="E164" s="27" t="str">
        <f>IF('E-Mixed'!A164&lt;'Adj-Mixed'!$B$10,'E-Mixed'!D164," ")</f>
        <v xml:space="preserve"> </v>
      </c>
      <c r="F164" s="92"/>
      <c r="G164" s="92" t="str">
        <f t="shared" si="8"/>
        <v xml:space="preserve"> </v>
      </c>
      <c r="H164" s="28" t="str">
        <f>IF('E-Mixed'!A164&lt;'Adj-Mixed'!$B$10,'E-Mixed'!I164," ")</f>
        <v xml:space="preserve"> </v>
      </c>
      <c r="I164" s="126" t="str">
        <f>IF('E-Mixed'!A164&lt;'Adj-Mixed'!$B$10,'E-Mixed'!A164," ")</f>
        <v xml:space="preserve"> </v>
      </c>
      <c r="J164" s="26" t="str">
        <f>IF('E-Mixed'!A164&lt;'Adj-Mixed'!$B$10,'E-Mixed'!J164," ")</f>
        <v xml:space="preserve"> </v>
      </c>
      <c r="K164" s="28" t="str">
        <f>IF('E-Mixed'!A164&lt;'Adj-Mixed'!$B$10,'E-Mixed'!N164," ")</f>
        <v xml:space="preserve"> </v>
      </c>
      <c r="L164" s="27" t="str">
        <f>IF('E-Mixed'!A164&lt;'Adj-Mixed'!$B$10,'E-Mixed'!K164," ")</f>
        <v xml:space="preserve"> </v>
      </c>
      <c r="M164" s="31" t="str">
        <f>IF('E-Mixed'!A164&lt;'Adj-Mixed'!$B$10,'E-Mixed'!M164," ")</f>
        <v xml:space="preserve"> </v>
      </c>
      <c r="N164" t="str">
        <f>IF('E-Mixed'!A164&lt;'Adj-Mixed'!$B$10,1/L164," ")</f>
        <v xml:space="preserve"> </v>
      </c>
      <c r="P164" t="str">
        <f t="shared" si="10"/>
        <v/>
      </c>
      <c r="Q164" t="str">
        <f t="shared" si="11"/>
        <v/>
      </c>
      <c r="R164" s="106" t="str">
        <f t="shared" si="9"/>
        <v/>
      </c>
    </row>
    <row r="165" spans="1:18" x14ac:dyDescent="0.25">
      <c r="A165" s="28" t="str">
        <f>IF('E-Mixed'!A165&lt;'Adj-Mixed'!$B$10,'E-Mixed'!B165," ")</f>
        <v xml:space="preserve"> </v>
      </c>
      <c r="B165" s="126" t="str">
        <f>IF('E-Mixed'!A165&lt;'Adj-Mixed'!$B$10,'E-Mixed'!A165," ")</f>
        <v xml:space="preserve"> </v>
      </c>
      <c r="C165" s="26" t="str">
        <f>IF('E-Mixed'!A165&lt;'Adj-Mixed'!$B$10,'E-Mixed'!C165," ")</f>
        <v xml:space="preserve"> </v>
      </c>
      <c r="D165" s="28" t="str">
        <f>IF('E-Mixed'!A165&lt;'Adj-Mixed'!$B$10,'E-Mixed'!G165," ")</f>
        <v xml:space="preserve"> </v>
      </c>
      <c r="E165" s="27" t="str">
        <f>IF('E-Mixed'!A165&lt;'Adj-Mixed'!$B$10,'E-Mixed'!D165," ")</f>
        <v xml:space="preserve"> </v>
      </c>
      <c r="F165" s="92"/>
      <c r="G165" s="92" t="str">
        <f t="shared" si="8"/>
        <v xml:space="preserve"> </v>
      </c>
      <c r="H165" s="28" t="str">
        <f>IF('E-Mixed'!A165&lt;'Adj-Mixed'!$B$10,'E-Mixed'!I165," ")</f>
        <v xml:space="preserve"> </v>
      </c>
      <c r="I165" s="126" t="str">
        <f>IF('E-Mixed'!A165&lt;'Adj-Mixed'!$B$10,'E-Mixed'!A165," ")</f>
        <v xml:space="preserve"> </v>
      </c>
      <c r="J165" s="26" t="str">
        <f>IF('E-Mixed'!A165&lt;'Adj-Mixed'!$B$10,'E-Mixed'!J165," ")</f>
        <v xml:space="preserve"> </v>
      </c>
      <c r="K165" s="28" t="str">
        <f>IF('E-Mixed'!A165&lt;'Adj-Mixed'!$B$10,'E-Mixed'!N165," ")</f>
        <v xml:space="preserve"> </v>
      </c>
      <c r="L165" s="27" t="str">
        <f>IF('E-Mixed'!A165&lt;'Adj-Mixed'!$B$10,'E-Mixed'!K165," ")</f>
        <v xml:space="preserve"> </v>
      </c>
      <c r="M165" s="31" t="str">
        <f>IF('E-Mixed'!A165&lt;'Adj-Mixed'!$B$10,'E-Mixed'!M165," ")</f>
        <v xml:space="preserve"> </v>
      </c>
      <c r="N165" t="str">
        <f>IF('E-Mixed'!A165&lt;'Adj-Mixed'!$B$10,1/L165," ")</f>
        <v xml:space="preserve"> </v>
      </c>
      <c r="P165" t="str">
        <f t="shared" si="10"/>
        <v/>
      </c>
      <c r="Q165" t="str">
        <f t="shared" si="11"/>
        <v/>
      </c>
      <c r="R165" s="106" t="str">
        <f t="shared" si="9"/>
        <v/>
      </c>
    </row>
    <row r="166" spans="1:18" x14ac:dyDescent="0.25">
      <c r="A166" s="28" t="str">
        <f>IF('E-Mixed'!A166&lt;'Adj-Mixed'!$B$10,'E-Mixed'!B166," ")</f>
        <v xml:space="preserve"> </v>
      </c>
      <c r="B166" s="126" t="str">
        <f>IF('E-Mixed'!A166&lt;'Adj-Mixed'!$B$10,'E-Mixed'!A166," ")</f>
        <v xml:space="preserve"> </v>
      </c>
      <c r="C166" s="26" t="str">
        <f>IF('E-Mixed'!A166&lt;'Adj-Mixed'!$B$10,'E-Mixed'!C166," ")</f>
        <v xml:space="preserve"> </v>
      </c>
      <c r="D166" s="28" t="str">
        <f>IF('E-Mixed'!A166&lt;'Adj-Mixed'!$B$10,'E-Mixed'!G166," ")</f>
        <v xml:space="preserve"> </v>
      </c>
      <c r="E166" s="27" t="str">
        <f>IF('E-Mixed'!A166&lt;'Adj-Mixed'!$B$10,'E-Mixed'!D166," ")</f>
        <v xml:space="preserve"> </v>
      </c>
      <c r="F166" s="92"/>
      <c r="G166" s="92" t="str">
        <f t="shared" si="8"/>
        <v xml:space="preserve"> </v>
      </c>
      <c r="H166" s="28" t="str">
        <f>IF('E-Mixed'!A166&lt;'Adj-Mixed'!$B$10,'E-Mixed'!I166," ")</f>
        <v xml:space="preserve"> </v>
      </c>
      <c r="I166" s="126" t="str">
        <f>IF('E-Mixed'!A166&lt;'Adj-Mixed'!$B$10,'E-Mixed'!A166," ")</f>
        <v xml:space="preserve"> </v>
      </c>
      <c r="J166" s="26" t="str">
        <f>IF('E-Mixed'!A166&lt;'Adj-Mixed'!$B$10,'E-Mixed'!J166," ")</f>
        <v xml:space="preserve"> </v>
      </c>
      <c r="K166" s="28" t="str">
        <f>IF('E-Mixed'!A166&lt;'Adj-Mixed'!$B$10,'E-Mixed'!N166," ")</f>
        <v xml:space="preserve"> </v>
      </c>
      <c r="L166" s="27" t="str">
        <f>IF('E-Mixed'!A166&lt;'Adj-Mixed'!$B$10,'E-Mixed'!K166," ")</f>
        <v xml:space="preserve"> </v>
      </c>
      <c r="M166" s="31" t="str">
        <f>IF('E-Mixed'!A166&lt;'Adj-Mixed'!$B$10,'E-Mixed'!M166," ")</f>
        <v xml:space="preserve"> </v>
      </c>
      <c r="N166" t="str">
        <f>IF('E-Mixed'!A166&lt;'Adj-Mixed'!$B$10,1/L166," ")</f>
        <v xml:space="preserve"> </v>
      </c>
      <c r="P166" t="str">
        <f t="shared" si="10"/>
        <v/>
      </c>
      <c r="Q166" t="str">
        <f t="shared" si="11"/>
        <v/>
      </c>
      <c r="R166" s="106" t="str">
        <f t="shared" si="9"/>
        <v/>
      </c>
    </row>
    <row r="167" spans="1:18" x14ac:dyDescent="0.25">
      <c r="A167" s="28" t="str">
        <f>IF('E-Mixed'!A167&lt;'Adj-Mixed'!$B$10,'E-Mixed'!B167," ")</f>
        <v xml:space="preserve"> </v>
      </c>
      <c r="B167" s="126" t="str">
        <f>IF('E-Mixed'!A167&lt;'Adj-Mixed'!$B$10,'E-Mixed'!A167," ")</f>
        <v xml:space="preserve"> </v>
      </c>
      <c r="C167" s="26" t="str">
        <f>IF('E-Mixed'!A167&lt;'Adj-Mixed'!$B$10,'E-Mixed'!C167," ")</f>
        <v xml:space="preserve"> </v>
      </c>
      <c r="D167" s="28" t="str">
        <f>IF('E-Mixed'!A167&lt;'Adj-Mixed'!$B$10,'E-Mixed'!G167," ")</f>
        <v xml:space="preserve"> </v>
      </c>
      <c r="E167" s="27" t="str">
        <f>IF('E-Mixed'!A167&lt;'Adj-Mixed'!$B$10,'E-Mixed'!D167," ")</f>
        <v xml:space="preserve"> </v>
      </c>
      <c r="F167" s="92"/>
      <c r="G167" s="92" t="str">
        <f t="shared" si="8"/>
        <v xml:space="preserve"> </v>
      </c>
      <c r="H167" s="28" t="str">
        <f>IF('E-Mixed'!A167&lt;'Adj-Mixed'!$B$10,'E-Mixed'!I167," ")</f>
        <v xml:space="preserve"> </v>
      </c>
      <c r="I167" s="126" t="str">
        <f>IF('E-Mixed'!A167&lt;'Adj-Mixed'!$B$10,'E-Mixed'!A167," ")</f>
        <v xml:space="preserve"> </v>
      </c>
      <c r="J167" s="26" t="str">
        <f>IF('E-Mixed'!A167&lt;'Adj-Mixed'!$B$10,'E-Mixed'!J167," ")</f>
        <v xml:space="preserve"> </v>
      </c>
      <c r="K167" s="28" t="str">
        <f>IF('E-Mixed'!A167&lt;'Adj-Mixed'!$B$10,'E-Mixed'!N167," ")</f>
        <v xml:space="preserve"> </v>
      </c>
      <c r="L167" s="27" t="str">
        <f>IF('E-Mixed'!A167&lt;'Adj-Mixed'!$B$10,'E-Mixed'!K167," ")</f>
        <v xml:space="preserve"> </v>
      </c>
      <c r="M167" s="31" t="str">
        <f>IF('E-Mixed'!A167&lt;'Adj-Mixed'!$B$10,'E-Mixed'!M167," ")</f>
        <v xml:space="preserve"> </v>
      </c>
      <c r="N167" t="str">
        <f>IF('E-Mixed'!A167&lt;'Adj-Mixed'!$B$10,1/L167," ")</f>
        <v xml:space="preserve"> </v>
      </c>
      <c r="P167" t="str">
        <f t="shared" si="10"/>
        <v/>
      </c>
      <c r="Q167" t="str">
        <f t="shared" si="11"/>
        <v/>
      </c>
      <c r="R167" s="106" t="str">
        <f t="shared" si="9"/>
        <v/>
      </c>
    </row>
    <row r="168" spans="1:18" x14ac:dyDescent="0.25">
      <c r="A168" s="28" t="str">
        <f>IF('E-Mixed'!A168&lt;'Adj-Mixed'!$B$10,'E-Mixed'!B168," ")</f>
        <v xml:space="preserve"> </v>
      </c>
      <c r="B168" s="126" t="str">
        <f>IF('E-Mixed'!A168&lt;'Adj-Mixed'!$B$10,'E-Mixed'!A168," ")</f>
        <v xml:space="preserve"> </v>
      </c>
      <c r="C168" s="26" t="str">
        <f>IF('E-Mixed'!A168&lt;'Adj-Mixed'!$B$10,'E-Mixed'!C168," ")</f>
        <v xml:space="preserve"> </v>
      </c>
      <c r="D168" s="28" t="str">
        <f>IF('E-Mixed'!A168&lt;'Adj-Mixed'!$B$10,'E-Mixed'!G168," ")</f>
        <v xml:space="preserve"> </v>
      </c>
      <c r="E168" s="27" t="str">
        <f>IF('E-Mixed'!A168&lt;'Adj-Mixed'!$B$10,'E-Mixed'!D168," ")</f>
        <v xml:space="preserve"> </v>
      </c>
      <c r="F168" s="92"/>
      <c r="G168" s="92" t="str">
        <f t="shared" si="8"/>
        <v xml:space="preserve"> </v>
      </c>
      <c r="H168" s="28" t="str">
        <f>IF('E-Mixed'!A168&lt;'Adj-Mixed'!$B$10,'E-Mixed'!I168," ")</f>
        <v xml:space="preserve"> </v>
      </c>
      <c r="I168" s="126" t="str">
        <f>IF('E-Mixed'!A168&lt;'Adj-Mixed'!$B$10,'E-Mixed'!A168," ")</f>
        <v xml:space="preserve"> </v>
      </c>
      <c r="J168" s="26" t="str">
        <f>IF('E-Mixed'!A168&lt;'Adj-Mixed'!$B$10,'E-Mixed'!J168," ")</f>
        <v xml:space="preserve"> </v>
      </c>
      <c r="K168" s="28" t="str">
        <f>IF('E-Mixed'!A168&lt;'Adj-Mixed'!$B$10,'E-Mixed'!N168," ")</f>
        <v xml:space="preserve"> </v>
      </c>
      <c r="L168" s="27" t="str">
        <f>IF('E-Mixed'!A168&lt;'Adj-Mixed'!$B$10,'E-Mixed'!K168," ")</f>
        <v xml:space="preserve"> </v>
      </c>
      <c r="M168" s="31" t="str">
        <f>IF('E-Mixed'!A168&lt;'Adj-Mixed'!$B$10,'E-Mixed'!M168," ")</f>
        <v xml:space="preserve"> </v>
      </c>
      <c r="N168" t="str">
        <f>IF('E-Mixed'!A168&lt;'Adj-Mixed'!$B$10,1/L168," ")</f>
        <v xml:space="preserve"> </v>
      </c>
      <c r="P168" t="str">
        <f t="shared" si="10"/>
        <v/>
      </c>
      <c r="Q168" t="str">
        <f t="shared" si="11"/>
        <v/>
      </c>
      <c r="R168" s="106" t="str">
        <f t="shared" si="9"/>
        <v/>
      </c>
    </row>
    <row r="169" spans="1:18" x14ac:dyDescent="0.25">
      <c r="A169" s="28" t="str">
        <f>IF('E-Mixed'!A169&lt;'Adj-Mixed'!$B$10,'E-Mixed'!B169," ")</f>
        <v xml:space="preserve"> </v>
      </c>
      <c r="B169" s="126" t="str">
        <f>IF('E-Mixed'!A169&lt;'Adj-Mixed'!$B$10,'E-Mixed'!A169," ")</f>
        <v xml:space="preserve"> </v>
      </c>
      <c r="C169" s="26" t="str">
        <f>IF('E-Mixed'!A169&lt;'Adj-Mixed'!$B$10,'E-Mixed'!C169," ")</f>
        <v xml:space="preserve"> </v>
      </c>
      <c r="D169" s="28" t="str">
        <f>IF('E-Mixed'!A169&lt;'Adj-Mixed'!$B$10,'E-Mixed'!G169," ")</f>
        <v xml:space="preserve"> </v>
      </c>
      <c r="E169" s="27" t="str">
        <f>IF('E-Mixed'!A169&lt;'Adj-Mixed'!$B$10,'E-Mixed'!D169," ")</f>
        <v xml:space="preserve"> </v>
      </c>
      <c r="F169" s="92"/>
      <c r="G169" s="92" t="str">
        <f t="shared" si="8"/>
        <v xml:space="preserve"> </v>
      </c>
      <c r="H169" s="28" t="str">
        <f>IF('E-Mixed'!A169&lt;'Adj-Mixed'!$B$10,'E-Mixed'!I169," ")</f>
        <v xml:space="preserve"> </v>
      </c>
      <c r="I169" s="126" t="str">
        <f>IF('E-Mixed'!A169&lt;'Adj-Mixed'!$B$10,'E-Mixed'!A169," ")</f>
        <v xml:space="preserve"> </v>
      </c>
      <c r="J169" s="26" t="str">
        <f>IF('E-Mixed'!A169&lt;'Adj-Mixed'!$B$10,'E-Mixed'!J169," ")</f>
        <v xml:space="preserve"> </v>
      </c>
      <c r="K169" s="28" t="str">
        <f>IF('E-Mixed'!A169&lt;'Adj-Mixed'!$B$10,'E-Mixed'!N169," ")</f>
        <v xml:space="preserve"> </v>
      </c>
      <c r="L169" s="27" t="str">
        <f>IF('E-Mixed'!A169&lt;'Adj-Mixed'!$B$10,'E-Mixed'!K169," ")</f>
        <v xml:space="preserve"> </v>
      </c>
      <c r="M169" s="31" t="str">
        <f>IF('E-Mixed'!A169&lt;'Adj-Mixed'!$B$10,'E-Mixed'!M169," ")</f>
        <v xml:space="preserve"> </v>
      </c>
      <c r="N169" t="str">
        <f>IF('E-Mixed'!A169&lt;'Adj-Mixed'!$B$10,1/L169," ")</f>
        <v xml:space="preserve"> </v>
      </c>
      <c r="P169" t="str">
        <f t="shared" si="10"/>
        <v/>
      </c>
      <c r="Q169" t="str">
        <f t="shared" si="11"/>
        <v/>
      </c>
      <c r="R169" s="106" t="str">
        <f t="shared" si="9"/>
        <v/>
      </c>
    </row>
    <row r="170" spans="1:18" x14ac:dyDescent="0.25">
      <c r="A170" s="28" t="str">
        <f>IF('E-Mixed'!A170&lt;'Adj-Mixed'!$B$10,'E-Mixed'!B170," ")</f>
        <v xml:space="preserve"> </v>
      </c>
      <c r="B170" s="126" t="str">
        <f>IF('E-Mixed'!A170&lt;'Adj-Mixed'!$B$10,'E-Mixed'!A170," ")</f>
        <v xml:space="preserve"> </v>
      </c>
      <c r="C170" s="26" t="str">
        <f>IF('E-Mixed'!A170&lt;'Adj-Mixed'!$B$10,'E-Mixed'!C170," ")</f>
        <v xml:space="preserve"> </v>
      </c>
      <c r="D170" s="28" t="str">
        <f>IF('E-Mixed'!A170&lt;'Adj-Mixed'!$B$10,'E-Mixed'!G170," ")</f>
        <v xml:space="preserve"> </v>
      </c>
      <c r="E170" s="27" t="str">
        <f>IF('E-Mixed'!A170&lt;'Adj-Mixed'!$B$10,'E-Mixed'!D170," ")</f>
        <v xml:space="preserve"> </v>
      </c>
      <c r="F170" s="92"/>
      <c r="G170" s="92" t="str">
        <f t="shared" si="8"/>
        <v xml:space="preserve"> </v>
      </c>
      <c r="H170" s="28" t="str">
        <f>IF('E-Mixed'!A170&lt;'Adj-Mixed'!$B$10,'E-Mixed'!I170," ")</f>
        <v xml:space="preserve"> </v>
      </c>
      <c r="I170" s="126" t="str">
        <f>IF('E-Mixed'!A170&lt;'Adj-Mixed'!$B$10,'E-Mixed'!A170," ")</f>
        <v xml:space="preserve"> </v>
      </c>
      <c r="J170" s="26" t="str">
        <f>IF('E-Mixed'!A170&lt;'Adj-Mixed'!$B$10,'E-Mixed'!J170," ")</f>
        <v xml:space="preserve"> </v>
      </c>
      <c r="K170" s="28" t="str">
        <f>IF('E-Mixed'!A170&lt;'Adj-Mixed'!$B$10,'E-Mixed'!N170," ")</f>
        <v xml:space="preserve"> </v>
      </c>
      <c r="L170" s="27" t="str">
        <f>IF('E-Mixed'!A170&lt;'Adj-Mixed'!$B$10,'E-Mixed'!K170," ")</f>
        <v xml:space="preserve"> </v>
      </c>
      <c r="M170" s="31" t="str">
        <f>IF('E-Mixed'!A170&lt;'Adj-Mixed'!$B$10,'E-Mixed'!M170," ")</f>
        <v xml:space="preserve"> </v>
      </c>
      <c r="N170" t="str">
        <f>IF('E-Mixed'!A170&lt;'Adj-Mixed'!$B$10,1/L170," ")</f>
        <v xml:space="preserve"> </v>
      </c>
      <c r="P170" t="str">
        <f t="shared" si="10"/>
        <v/>
      </c>
      <c r="Q170" t="str">
        <f t="shared" si="11"/>
        <v/>
      </c>
      <c r="R170" s="106" t="str">
        <f t="shared" si="9"/>
        <v/>
      </c>
    </row>
    <row r="171" spans="1:18" x14ac:dyDescent="0.25">
      <c r="A171" s="28" t="str">
        <f>IF('E-Mixed'!A171&lt;'Adj-Mixed'!$B$10,'E-Mixed'!B171," ")</f>
        <v xml:space="preserve"> </v>
      </c>
      <c r="B171" s="126" t="str">
        <f>IF('E-Mixed'!A171&lt;'Adj-Mixed'!$B$10,'E-Mixed'!A171," ")</f>
        <v xml:space="preserve"> </v>
      </c>
      <c r="C171" s="26" t="str">
        <f>IF('E-Mixed'!A171&lt;'Adj-Mixed'!$B$10,'E-Mixed'!C171," ")</f>
        <v xml:space="preserve"> </v>
      </c>
      <c r="D171" s="28" t="str">
        <f>IF('E-Mixed'!A171&lt;'Adj-Mixed'!$B$10,'E-Mixed'!G171," ")</f>
        <v xml:space="preserve"> </v>
      </c>
      <c r="E171" s="27" t="str">
        <f>IF('E-Mixed'!A171&lt;'Adj-Mixed'!$B$10,'E-Mixed'!D171," ")</f>
        <v xml:space="preserve"> </v>
      </c>
      <c r="F171" s="92"/>
      <c r="G171" s="92" t="str">
        <f t="shared" si="8"/>
        <v xml:space="preserve"> </v>
      </c>
      <c r="H171" s="28" t="str">
        <f>IF('E-Mixed'!A171&lt;'Adj-Mixed'!$B$10,'E-Mixed'!I171," ")</f>
        <v xml:space="preserve"> </v>
      </c>
      <c r="I171" s="126" t="str">
        <f>IF('E-Mixed'!A171&lt;'Adj-Mixed'!$B$10,'E-Mixed'!A171," ")</f>
        <v xml:space="preserve"> </v>
      </c>
      <c r="J171" s="26" t="str">
        <f>IF('E-Mixed'!A171&lt;'Adj-Mixed'!$B$10,'E-Mixed'!J171," ")</f>
        <v xml:space="preserve"> </v>
      </c>
      <c r="K171" s="28" t="str">
        <f>IF('E-Mixed'!A171&lt;'Adj-Mixed'!$B$10,'E-Mixed'!N171," ")</f>
        <v xml:space="preserve"> </v>
      </c>
      <c r="L171" s="27" t="str">
        <f>IF('E-Mixed'!A171&lt;'Adj-Mixed'!$B$10,'E-Mixed'!K171," ")</f>
        <v xml:space="preserve"> </v>
      </c>
      <c r="M171" s="31" t="str">
        <f>IF('E-Mixed'!A171&lt;'Adj-Mixed'!$B$10,'E-Mixed'!M171," ")</f>
        <v xml:space="preserve"> </v>
      </c>
      <c r="N171" t="str">
        <f>IF('E-Mixed'!A171&lt;'Adj-Mixed'!$B$10,1/L171," ")</f>
        <v xml:space="preserve"> </v>
      </c>
      <c r="P171" t="str">
        <f t="shared" si="10"/>
        <v/>
      </c>
      <c r="Q171" t="str">
        <f t="shared" si="11"/>
        <v/>
      </c>
      <c r="R171" s="106" t="str">
        <f t="shared" si="9"/>
        <v/>
      </c>
    </row>
    <row r="172" spans="1:18" x14ac:dyDescent="0.25">
      <c r="A172" s="28" t="str">
        <f>IF('E-Mixed'!A172&lt;'Adj-Mixed'!$B$10,'E-Mixed'!B172," ")</f>
        <v xml:space="preserve"> </v>
      </c>
      <c r="B172" s="126" t="str">
        <f>IF('E-Mixed'!A172&lt;'Adj-Mixed'!$B$10,'E-Mixed'!A172," ")</f>
        <v xml:space="preserve"> </v>
      </c>
      <c r="C172" s="26" t="str">
        <f>IF('E-Mixed'!A172&lt;'Adj-Mixed'!$B$10,'E-Mixed'!C172," ")</f>
        <v xml:space="preserve"> </v>
      </c>
      <c r="D172" s="28" t="str">
        <f>IF('E-Mixed'!A172&lt;'Adj-Mixed'!$B$10,'E-Mixed'!G172," ")</f>
        <v xml:space="preserve"> </v>
      </c>
      <c r="E172" s="27" t="str">
        <f>IF('E-Mixed'!A172&lt;'Adj-Mixed'!$B$10,'E-Mixed'!D172," ")</f>
        <v xml:space="preserve"> </v>
      </c>
      <c r="F172" s="92"/>
      <c r="G172" s="92" t="str">
        <f t="shared" si="8"/>
        <v xml:space="preserve"> </v>
      </c>
      <c r="H172" s="28" t="str">
        <f>IF('E-Mixed'!A172&lt;'Adj-Mixed'!$B$10,'E-Mixed'!I172," ")</f>
        <v xml:space="preserve"> </v>
      </c>
      <c r="I172" s="126" t="str">
        <f>IF('E-Mixed'!A172&lt;'Adj-Mixed'!$B$10,'E-Mixed'!A172," ")</f>
        <v xml:space="preserve"> </v>
      </c>
      <c r="J172" s="26" t="str">
        <f>IF('E-Mixed'!A172&lt;'Adj-Mixed'!$B$10,'E-Mixed'!J172," ")</f>
        <v xml:space="preserve"> </v>
      </c>
      <c r="K172" s="28" t="str">
        <f>IF('E-Mixed'!A172&lt;'Adj-Mixed'!$B$10,'E-Mixed'!N172," ")</f>
        <v xml:space="preserve"> </v>
      </c>
      <c r="L172" s="27" t="str">
        <f>IF('E-Mixed'!A172&lt;'Adj-Mixed'!$B$10,'E-Mixed'!K172," ")</f>
        <v xml:space="preserve"> </v>
      </c>
      <c r="M172" s="31" t="str">
        <f>IF('E-Mixed'!A172&lt;'Adj-Mixed'!$B$10,'E-Mixed'!M172," ")</f>
        <v xml:space="preserve"> </v>
      </c>
      <c r="N172" t="str">
        <f>IF('E-Mixed'!A172&lt;'Adj-Mixed'!$B$10,1/L172," ")</f>
        <v xml:space="preserve"> </v>
      </c>
      <c r="P172" t="str">
        <f t="shared" si="10"/>
        <v/>
      </c>
      <c r="Q172" t="str">
        <f t="shared" si="11"/>
        <v/>
      </c>
      <c r="R172" s="106" t="str">
        <f t="shared" si="9"/>
        <v/>
      </c>
    </row>
    <row r="173" spans="1:18" x14ac:dyDescent="0.25">
      <c r="A173" s="28" t="str">
        <f>IF('E-Mixed'!A173&lt;'Adj-Mixed'!$B$10,'E-Mixed'!B173," ")</f>
        <v xml:space="preserve"> </v>
      </c>
      <c r="B173" s="126" t="str">
        <f>IF('E-Mixed'!A173&lt;'Adj-Mixed'!$B$10,'E-Mixed'!A173," ")</f>
        <v xml:space="preserve"> </v>
      </c>
      <c r="C173" s="26" t="str">
        <f>IF('E-Mixed'!A173&lt;'Adj-Mixed'!$B$10,'E-Mixed'!C173," ")</f>
        <v xml:space="preserve"> </v>
      </c>
      <c r="D173" s="28" t="str">
        <f>IF('E-Mixed'!A173&lt;'Adj-Mixed'!$B$10,'E-Mixed'!G173," ")</f>
        <v xml:space="preserve"> </v>
      </c>
      <c r="E173" s="27" t="str">
        <f>IF('E-Mixed'!A173&lt;'Adj-Mixed'!$B$10,'E-Mixed'!D173," ")</f>
        <v xml:space="preserve"> </v>
      </c>
      <c r="F173" s="92"/>
      <c r="G173" s="92" t="str">
        <f t="shared" si="8"/>
        <v xml:space="preserve"> </v>
      </c>
      <c r="H173" s="28" t="str">
        <f>IF('E-Mixed'!A173&lt;'Adj-Mixed'!$B$10,'E-Mixed'!I173," ")</f>
        <v xml:space="preserve"> </v>
      </c>
      <c r="I173" s="126" t="str">
        <f>IF('E-Mixed'!A173&lt;'Adj-Mixed'!$B$10,'E-Mixed'!A173," ")</f>
        <v xml:space="preserve"> </v>
      </c>
      <c r="J173" s="26" t="str">
        <f>IF('E-Mixed'!A173&lt;'Adj-Mixed'!$B$10,'E-Mixed'!J173," ")</f>
        <v xml:space="preserve"> </v>
      </c>
      <c r="K173" s="28" t="str">
        <f>IF('E-Mixed'!A173&lt;'Adj-Mixed'!$B$10,'E-Mixed'!N173," ")</f>
        <v xml:space="preserve"> </v>
      </c>
      <c r="L173" s="27" t="str">
        <f>IF('E-Mixed'!A173&lt;'Adj-Mixed'!$B$10,'E-Mixed'!K173," ")</f>
        <v xml:space="preserve"> </v>
      </c>
      <c r="M173" s="31" t="str">
        <f>IF('E-Mixed'!A173&lt;'Adj-Mixed'!$B$10,'E-Mixed'!M173," ")</f>
        <v xml:space="preserve"> </v>
      </c>
      <c r="N173" t="str">
        <f>IF('E-Mixed'!A173&lt;'Adj-Mixed'!$B$10,1/L173," ")</f>
        <v xml:space="preserve"> </v>
      </c>
      <c r="P173" t="str">
        <f t="shared" si="10"/>
        <v/>
      </c>
      <c r="Q173" t="str">
        <f t="shared" si="11"/>
        <v/>
      </c>
      <c r="R173" s="106" t="str">
        <f t="shared" si="9"/>
        <v/>
      </c>
    </row>
    <row r="174" spans="1:18" x14ac:dyDescent="0.25">
      <c r="A174" s="28" t="str">
        <f>IF('E-Mixed'!A174&lt;'Adj-Mixed'!$B$10,'E-Mixed'!B174," ")</f>
        <v xml:space="preserve"> </v>
      </c>
      <c r="B174" s="126" t="str">
        <f>IF('E-Mixed'!A174&lt;'Adj-Mixed'!$B$10,'E-Mixed'!A174," ")</f>
        <v xml:space="preserve"> </v>
      </c>
      <c r="C174" s="26" t="str">
        <f>IF('E-Mixed'!A174&lt;'Adj-Mixed'!$B$10,'E-Mixed'!C174," ")</f>
        <v xml:space="preserve"> </v>
      </c>
      <c r="D174" s="28" t="str">
        <f>IF('E-Mixed'!A174&lt;'Adj-Mixed'!$B$10,'E-Mixed'!G174," ")</f>
        <v xml:space="preserve"> </v>
      </c>
      <c r="E174" s="27" t="str">
        <f>IF('E-Mixed'!A174&lt;'Adj-Mixed'!$B$10,'E-Mixed'!D174," ")</f>
        <v xml:space="preserve"> </v>
      </c>
      <c r="F174" s="92"/>
      <c r="G174" s="92" t="str">
        <f t="shared" si="8"/>
        <v xml:space="preserve"> </v>
      </c>
      <c r="H174" s="28" t="str">
        <f>IF('E-Mixed'!A174&lt;'Adj-Mixed'!$B$10,'E-Mixed'!I174," ")</f>
        <v xml:space="preserve"> </v>
      </c>
      <c r="I174" s="126" t="str">
        <f>IF('E-Mixed'!A174&lt;'Adj-Mixed'!$B$10,'E-Mixed'!A174," ")</f>
        <v xml:space="preserve"> </v>
      </c>
      <c r="J174" s="26" t="str">
        <f>IF('E-Mixed'!A174&lt;'Adj-Mixed'!$B$10,'E-Mixed'!J174," ")</f>
        <v xml:space="preserve"> </v>
      </c>
      <c r="K174" s="28" t="str">
        <f>IF('E-Mixed'!A174&lt;'Adj-Mixed'!$B$10,'E-Mixed'!N174," ")</f>
        <v xml:space="preserve"> </v>
      </c>
      <c r="L174" s="27" t="str">
        <f>IF('E-Mixed'!A174&lt;'Adj-Mixed'!$B$10,'E-Mixed'!K174," ")</f>
        <v xml:space="preserve"> </v>
      </c>
      <c r="M174" s="31" t="str">
        <f>IF('E-Mixed'!A174&lt;'Adj-Mixed'!$B$10,'E-Mixed'!M174," ")</f>
        <v xml:space="preserve"> </v>
      </c>
      <c r="N174" t="str">
        <f>IF('E-Mixed'!A174&lt;'Adj-Mixed'!$B$10,1/L174," ")</f>
        <v xml:space="preserve"> </v>
      </c>
      <c r="P174" t="str">
        <f t="shared" si="10"/>
        <v/>
      </c>
      <c r="Q174" t="str">
        <f t="shared" si="11"/>
        <v/>
      </c>
      <c r="R174" s="106" t="str">
        <f t="shared" si="9"/>
        <v/>
      </c>
    </row>
    <row r="175" spans="1:18" x14ac:dyDescent="0.25">
      <c r="A175" s="28" t="str">
        <f>IF('E-Mixed'!A175&lt;'Adj-Mixed'!$B$10,'E-Mixed'!B175," ")</f>
        <v xml:space="preserve"> </v>
      </c>
      <c r="B175" s="126" t="str">
        <f>IF('E-Mixed'!A175&lt;'Adj-Mixed'!$B$10,'E-Mixed'!A175," ")</f>
        <v xml:space="preserve"> </v>
      </c>
      <c r="C175" s="26" t="str">
        <f>IF('E-Mixed'!A175&lt;'Adj-Mixed'!$B$10,'E-Mixed'!C175," ")</f>
        <v xml:space="preserve"> </v>
      </c>
      <c r="D175" s="28" t="str">
        <f>IF('E-Mixed'!A175&lt;'Adj-Mixed'!$B$10,'E-Mixed'!G175," ")</f>
        <v xml:space="preserve"> </v>
      </c>
      <c r="E175" s="27" t="str">
        <f>IF('E-Mixed'!A175&lt;'Adj-Mixed'!$B$10,'E-Mixed'!D175," ")</f>
        <v xml:space="preserve"> </v>
      </c>
      <c r="F175" s="92"/>
      <c r="G175" s="92" t="str">
        <f t="shared" si="8"/>
        <v xml:space="preserve"> </v>
      </c>
      <c r="H175" s="28" t="str">
        <f>IF('E-Mixed'!A175&lt;'Adj-Mixed'!$B$10,'E-Mixed'!I175," ")</f>
        <v xml:space="preserve"> </v>
      </c>
      <c r="I175" s="126" t="str">
        <f>IF('E-Mixed'!A175&lt;'Adj-Mixed'!$B$10,'E-Mixed'!A175," ")</f>
        <v xml:space="preserve"> </v>
      </c>
      <c r="J175" s="26" t="str">
        <f>IF('E-Mixed'!A175&lt;'Adj-Mixed'!$B$10,'E-Mixed'!J175," ")</f>
        <v xml:space="preserve"> </v>
      </c>
      <c r="K175" s="28" t="str">
        <f>IF('E-Mixed'!A175&lt;'Adj-Mixed'!$B$10,'E-Mixed'!N175," ")</f>
        <v xml:space="preserve"> </v>
      </c>
      <c r="L175" s="27" t="str">
        <f>IF('E-Mixed'!A175&lt;'Adj-Mixed'!$B$10,'E-Mixed'!K175," ")</f>
        <v xml:space="preserve"> </v>
      </c>
      <c r="M175" s="31" t="str">
        <f>IF('E-Mixed'!A175&lt;'Adj-Mixed'!$B$10,'E-Mixed'!M175," ")</f>
        <v xml:space="preserve"> </v>
      </c>
      <c r="N175" t="str">
        <f>IF('E-Mixed'!A175&lt;'Adj-Mixed'!$B$10,1/L175," ")</f>
        <v xml:space="preserve"> </v>
      </c>
      <c r="P175" t="str">
        <f t="shared" si="10"/>
        <v/>
      </c>
      <c r="Q175" t="str">
        <f t="shared" si="11"/>
        <v/>
      </c>
      <c r="R175" s="106" t="str">
        <f t="shared" si="9"/>
        <v/>
      </c>
    </row>
    <row r="176" spans="1:18" x14ac:dyDescent="0.25">
      <c r="A176" s="28" t="str">
        <f>IF('E-Mixed'!A176&lt;'Adj-Mixed'!$B$10,'E-Mixed'!B176," ")</f>
        <v xml:space="preserve"> </v>
      </c>
      <c r="B176" s="126" t="str">
        <f>IF('E-Mixed'!A176&lt;'Adj-Mixed'!$B$10,'E-Mixed'!A176," ")</f>
        <v xml:space="preserve"> </v>
      </c>
      <c r="C176" s="26" t="str">
        <f>IF('E-Mixed'!A176&lt;'Adj-Mixed'!$B$10,'E-Mixed'!C176," ")</f>
        <v xml:space="preserve"> </v>
      </c>
      <c r="D176" s="28" t="str">
        <f>IF('E-Mixed'!A176&lt;'Adj-Mixed'!$B$10,'E-Mixed'!G176," ")</f>
        <v xml:space="preserve"> </v>
      </c>
      <c r="E176" s="27" t="str">
        <f>IF('E-Mixed'!A176&lt;'Adj-Mixed'!$B$10,'E-Mixed'!D176," ")</f>
        <v xml:space="preserve"> </v>
      </c>
      <c r="F176" s="92"/>
      <c r="G176" s="92" t="str">
        <f t="shared" si="8"/>
        <v xml:space="preserve"> </v>
      </c>
      <c r="H176" s="28" t="str">
        <f>IF('E-Mixed'!A176&lt;'Adj-Mixed'!$B$10,'E-Mixed'!I176," ")</f>
        <v xml:space="preserve"> </v>
      </c>
      <c r="I176" s="126" t="str">
        <f>IF('E-Mixed'!A176&lt;'Adj-Mixed'!$B$10,'E-Mixed'!A176," ")</f>
        <v xml:space="preserve"> </v>
      </c>
      <c r="J176" s="26" t="str">
        <f>IF('E-Mixed'!A176&lt;'Adj-Mixed'!$B$10,'E-Mixed'!J176," ")</f>
        <v xml:space="preserve"> </v>
      </c>
      <c r="K176" s="28" t="str">
        <f>IF('E-Mixed'!A176&lt;'Adj-Mixed'!$B$10,'E-Mixed'!N176," ")</f>
        <v xml:space="preserve"> </v>
      </c>
      <c r="L176" s="27" t="str">
        <f>IF('E-Mixed'!A176&lt;'Adj-Mixed'!$B$10,'E-Mixed'!K176," ")</f>
        <v xml:space="preserve"> </v>
      </c>
      <c r="M176" s="31" t="str">
        <f>IF('E-Mixed'!A176&lt;'Adj-Mixed'!$B$10,'E-Mixed'!M176," ")</f>
        <v xml:space="preserve"> </v>
      </c>
      <c r="N176" t="str">
        <f>IF('E-Mixed'!A176&lt;'Adj-Mixed'!$B$10,1/L176," ")</f>
        <v xml:space="preserve"> </v>
      </c>
      <c r="P176" t="str">
        <f t="shared" si="10"/>
        <v/>
      </c>
      <c r="Q176" t="str">
        <f t="shared" si="11"/>
        <v/>
      </c>
      <c r="R176" s="106" t="str">
        <f t="shared" si="9"/>
        <v/>
      </c>
    </row>
    <row r="177" spans="1:18" x14ac:dyDescent="0.25">
      <c r="A177" s="28" t="str">
        <f>IF('E-Mixed'!A177&lt;'Adj-Mixed'!$B$10,'E-Mixed'!B177," ")</f>
        <v xml:space="preserve"> </v>
      </c>
      <c r="B177" s="126" t="str">
        <f>IF('E-Mixed'!A177&lt;'Adj-Mixed'!$B$10,'E-Mixed'!A177," ")</f>
        <v xml:space="preserve"> </v>
      </c>
      <c r="C177" s="26" t="str">
        <f>IF('E-Mixed'!A177&lt;'Adj-Mixed'!$B$10,'E-Mixed'!C177," ")</f>
        <v xml:space="preserve"> </v>
      </c>
      <c r="D177" s="28" t="str">
        <f>IF('E-Mixed'!A177&lt;'Adj-Mixed'!$B$10,'E-Mixed'!G177," ")</f>
        <v xml:space="preserve"> </v>
      </c>
      <c r="E177" s="27" t="str">
        <f>IF('E-Mixed'!A177&lt;'Adj-Mixed'!$B$10,'E-Mixed'!D177," ")</f>
        <v xml:space="preserve"> </v>
      </c>
      <c r="F177" s="92"/>
      <c r="G177" s="92" t="str">
        <f t="shared" si="8"/>
        <v xml:space="preserve"> </v>
      </c>
      <c r="H177" s="28" t="str">
        <f>IF('E-Mixed'!A177&lt;'Adj-Mixed'!$B$10,'E-Mixed'!I177," ")</f>
        <v xml:space="preserve"> </v>
      </c>
      <c r="I177" s="126" t="str">
        <f>IF('E-Mixed'!A177&lt;'Adj-Mixed'!$B$10,'E-Mixed'!A177," ")</f>
        <v xml:space="preserve"> </v>
      </c>
      <c r="J177" s="26" t="str">
        <f>IF('E-Mixed'!A177&lt;'Adj-Mixed'!$B$10,'E-Mixed'!J177," ")</f>
        <v xml:space="preserve"> </v>
      </c>
      <c r="K177" s="28" t="str">
        <f>IF('E-Mixed'!A177&lt;'Adj-Mixed'!$B$10,'E-Mixed'!N177," ")</f>
        <v xml:space="preserve"> </v>
      </c>
      <c r="L177" s="27" t="str">
        <f>IF('E-Mixed'!A177&lt;'Adj-Mixed'!$B$10,'E-Mixed'!K177," ")</f>
        <v xml:space="preserve"> </v>
      </c>
      <c r="M177" s="31" t="str">
        <f>IF('E-Mixed'!A177&lt;'Adj-Mixed'!$B$10,'E-Mixed'!M177," ")</f>
        <v xml:space="preserve"> </v>
      </c>
      <c r="N177" t="str">
        <f>IF('E-Mixed'!A177&lt;'Adj-Mixed'!$B$10,1/L177," ")</f>
        <v xml:space="preserve"> </v>
      </c>
      <c r="P177" t="str">
        <f>IFERROR(IF(J177&lt;0,"",CONVERT(J177,"g", "lbm")),"")</f>
        <v/>
      </c>
      <c r="Q177" t="str">
        <f t="shared" si="11"/>
        <v/>
      </c>
      <c r="R177" s="106" t="str">
        <f t="shared" si="9"/>
        <v/>
      </c>
    </row>
    <row r="178" spans="1:18" x14ac:dyDescent="0.25">
      <c r="A178" s="28" t="str">
        <f>IF('E-Mixed'!A178&lt;'Adj-Mixed'!$B$10,'E-Mixed'!B178," ")</f>
        <v xml:space="preserve"> </v>
      </c>
      <c r="B178" s="126" t="str">
        <f>IF('E-Mixed'!A178&lt;'Adj-Mixed'!$B$10,'E-Mixed'!A178," ")</f>
        <v xml:space="preserve"> </v>
      </c>
      <c r="C178" s="26" t="str">
        <f>IF('E-Mixed'!A178&lt;'Adj-Mixed'!$B$10,'E-Mixed'!C178," ")</f>
        <v xml:space="preserve"> </v>
      </c>
      <c r="D178" s="28" t="str">
        <f>IF('E-Mixed'!A178&lt;'Adj-Mixed'!$B$10,'E-Mixed'!G178," ")</f>
        <v xml:space="preserve"> </v>
      </c>
      <c r="E178" s="27" t="str">
        <f>IF('E-Mixed'!A178&lt;'Adj-Mixed'!$B$10,'E-Mixed'!D178," ")</f>
        <v xml:space="preserve"> </v>
      </c>
      <c r="F178" s="92"/>
      <c r="G178" s="92" t="str">
        <f t="shared" si="8"/>
        <v xml:space="preserve"> </v>
      </c>
      <c r="H178" s="28" t="str">
        <f>IF('E-Mixed'!A178&lt;'Adj-Mixed'!$B$10,'E-Mixed'!I178,"")</f>
        <v/>
      </c>
      <c r="I178" s="126" t="str">
        <f>IF('E-Mixed'!A178&lt;'Adj-Mixed'!$B$10,'E-Mixed'!A178," ")</f>
        <v xml:space="preserve"> </v>
      </c>
      <c r="J178" s="26" t="str">
        <f>IF('E-Mixed'!A178&lt;'Adj-Mixed'!$B$10,'E-Mixed'!J178," ")</f>
        <v xml:space="preserve"> </v>
      </c>
      <c r="K178" s="28" t="str">
        <f>IF('E-Mixed'!A178&lt;'Adj-Mixed'!$B$10,'E-Mixed'!N178," ")</f>
        <v xml:space="preserve"> </v>
      </c>
      <c r="L178" s="27" t="str">
        <f>IF('E-Mixed'!A178&lt;'Adj-Mixed'!$B$10,'E-Mixed'!K178," ")</f>
        <v xml:space="preserve"> </v>
      </c>
      <c r="M178" s="31" t="str">
        <f>IF('E-Mixed'!A178&lt;'Adj-Mixed'!$B$10,'E-Mixed'!M178," ")</f>
        <v xml:space="preserve"> </v>
      </c>
      <c r="N178" t="str">
        <f>IF('E-Mixed'!A178&lt;'Adj-Mixed'!$B$10,1/L178," ")</f>
        <v xml:space="preserve"> </v>
      </c>
      <c r="P178" t="str">
        <f t="shared" si="10"/>
        <v/>
      </c>
      <c r="Q178" t="str">
        <f t="shared" si="11"/>
        <v/>
      </c>
      <c r="R178" s="106" t="str">
        <f t="shared" si="9"/>
        <v/>
      </c>
    </row>
    <row r="179" spans="1:18" x14ac:dyDescent="0.25">
      <c r="A179" s="28" t="str">
        <f>IF('E-Mixed'!A179&lt;'Adj-Mixed'!$B$10,'E-Mixed'!B179," ")</f>
        <v xml:space="preserve"> </v>
      </c>
      <c r="B179" s="126" t="str">
        <f>IF('E-Mixed'!A179&lt;'Adj-Mixed'!$B$10,'E-Mixed'!A179," ")</f>
        <v xml:space="preserve"> </v>
      </c>
      <c r="C179" s="26" t="str">
        <f>IF('E-Mixed'!A179&lt;'Adj-Mixed'!$B$10,'E-Mixed'!C179," ")</f>
        <v xml:space="preserve"> </v>
      </c>
      <c r="D179" s="28" t="str">
        <f>IF('E-Mixed'!A179&lt;'Adj-Mixed'!$B$10,'E-Mixed'!G179," ")</f>
        <v xml:space="preserve"> </v>
      </c>
      <c r="E179" s="27" t="str">
        <f>IF('E-Mixed'!A179&lt;'Adj-Mixed'!$B$10,'E-Mixed'!D179," ")</f>
        <v xml:space="preserve"> </v>
      </c>
      <c r="F179" s="92"/>
      <c r="G179" s="92" t="str">
        <f t="shared" si="8"/>
        <v xml:space="preserve"> </v>
      </c>
      <c r="H179" s="28" t="str">
        <f>IF('E-Mixed'!A179&lt;'Adj-Mixed'!$B$10,'E-Mixed'!I179," ")</f>
        <v xml:space="preserve"> </v>
      </c>
      <c r="I179" s="126" t="str">
        <f>IF('E-Mixed'!A179&lt;'Adj-Mixed'!$B$10,'E-Mixed'!A179," ")</f>
        <v xml:space="preserve"> </v>
      </c>
      <c r="J179" s="26" t="str">
        <f>IF('E-Mixed'!A179&lt;'Adj-Mixed'!$B$10,'E-Mixed'!J179," ")</f>
        <v xml:space="preserve"> </v>
      </c>
      <c r="K179" s="28" t="str">
        <f>IF('E-Mixed'!A179&lt;'Adj-Mixed'!$B$10,'E-Mixed'!N179," ")</f>
        <v xml:space="preserve"> </v>
      </c>
      <c r="L179" s="27" t="str">
        <f>IF('E-Mixed'!A179&lt;'Adj-Mixed'!$B$10,'E-Mixed'!K179," ")</f>
        <v xml:space="preserve"> </v>
      </c>
      <c r="M179" s="31" t="str">
        <f>IF('E-Mixed'!A179&lt;'Adj-Mixed'!$B$10,'E-Mixed'!M179," ")</f>
        <v xml:space="preserve"> </v>
      </c>
      <c r="N179" t="str">
        <f>IF('E-Mixed'!A179&lt;'Adj-Mixed'!$B$10,1/L179," ")</f>
        <v xml:space="preserve"> </v>
      </c>
      <c r="P179" t="str">
        <f t="shared" si="10"/>
        <v/>
      </c>
      <c r="Q179" t="str">
        <f t="shared" si="11"/>
        <v/>
      </c>
      <c r="R179" s="106" t="str">
        <f t="shared" si="9"/>
        <v/>
      </c>
    </row>
    <row r="180" spans="1:18" x14ac:dyDescent="0.25">
      <c r="A180" s="28" t="str">
        <f>IF('E-Mixed'!A180&lt;'Adj-Mixed'!$B$10,'E-Mixed'!B180," ")</f>
        <v xml:space="preserve"> </v>
      </c>
      <c r="B180" s="126" t="str">
        <f>IF('E-Mixed'!A180&lt;'Adj-Mixed'!$B$10,'E-Mixed'!A180," ")</f>
        <v xml:space="preserve"> </v>
      </c>
      <c r="C180" s="26" t="str">
        <f>IF('E-Mixed'!A180&lt;'Adj-Mixed'!$B$10,'E-Mixed'!C180," ")</f>
        <v xml:space="preserve"> </v>
      </c>
      <c r="D180" s="28" t="str">
        <f>IF('E-Mixed'!A180&lt;'Adj-Mixed'!$B$10,'E-Mixed'!G180," ")</f>
        <v xml:space="preserve"> </v>
      </c>
      <c r="E180" s="27" t="str">
        <f>IF('E-Mixed'!A180&lt;'Adj-Mixed'!$B$10,'E-Mixed'!D180," ")</f>
        <v xml:space="preserve"> </v>
      </c>
      <c r="F180" s="92"/>
      <c r="G180" s="92" t="str">
        <f t="shared" si="8"/>
        <v xml:space="preserve"> </v>
      </c>
      <c r="H180" s="28" t="str">
        <f>IF('E-Mixed'!A180&lt;'Adj-Mixed'!$B$10,'E-Mixed'!I180," ")</f>
        <v xml:space="preserve"> </v>
      </c>
      <c r="I180" s="126" t="str">
        <f>IF('E-Mixed'!A180&lt;'Adj-Mixed'!$B$10,'E-Mixed'!A180," ")</f>
        <v xml:space="preserve"> </v>
      </c>
      <c r="J180" s="26" t="str">
        <f>IF('E-Mixed'!A180&lt;'Adj-Mixed'!$B$10,'E-Mixed'!J180," ")</f>
        <v xml:space="preserve"> </v>
      </c>
      <c r="K180" s="28" t="str">
        <f>IF('E-Mixed'!A180&lt;'Adj-Mixed'!$B$10,'E-Mixed'!N180," ")</f>
        <v xml:space="preserve"> </v>
      </c>
      <c r="L180" s="27" t="str">
        <f>IF('E-Mixed'!A180&lt;'Adj-Mixed'!$B$10,'E-Mixed'!K180," ")</f>
        <v xml:space="preserve"> </v>
      </c>
      <c r="M180" s="31" t="str">
        <f>IF('E-Mixed'!A180&lt;'Adj-Mixed'!$B$10,'E-Mixed'!M180," ")</f>
        <v xml:space="preserve"> </v>
      </c>
      <c r="N180" t="str">
        <f>IF('E-Mixed'!A180&lt;'Adj-Mixed'!$B$10,1/L180," ")</f>
        <v xml:space="preserve"> </v>
      </c>
      <c r="P180" t="str">
        <f t="shared" si="10"/>
        <v/>
      </c>
      <c r="Q180" t="str">
        <f t="shared" si="11"/>
        <v/>
      </c>
      <c r="R180" s="106" t="str">
        <f t="shared" si="9"/>
        <v/>
      </c>
    </row>
    <row r="181" spans="1:18" x14ac:dyDescent="0.25">
      <c r="A181" s="28" t="str">
        <f>IF('E-Mixed'!A181&lt;'Adj-Mixed'!$B$10,'E-Mixed'!B181," ")</f>
        <v xml:space="preserve"> </v>
      </c>
      <c r="B181" s="126" t="str">
        <f>IF('E-Mixed'!A181&lt;'Adj-Mixed'!$B$10,'E-Mixed'!A181," ")</f>
        <v xml:space="preserve"> </v>
      </c>
      <c r="C181" s="26" t="str">
        <f>IF('E-Mixed'!A181&lt;'Adj-Mixed'!$B$10,'E-Mixed'!C181," ")</f>
        <v xml:space="preserve"> </v>
      </c>
      <c r="D181" s="28" t="str">
        <f>IF('E-Mixed'!A181&lt;'Adj-Mixed'!$B$10,'E-Mixed'!G181," ")</f>
        <v xml:space="preserve"> </v>
      </c>
      <c r="E181" s="27" t="str">
        <f>IF('E-Mixed'!A181&lt;'Adj-Mixed'!$B$10,'E-Mixed'!D181," ")</f>
        <v xml:space="preserve"> </v>
      </c>
      <c r="F181" s="92"/>
      <c r="G181" s="92" t="str">
        <f t="shared" si="8"/>
        <v xml:space="preserve"> </v>
      </c>
      <c r="H181" s="28" t="str">
        <f>IF('E-Mixed'!A181&lt;'Adj-Mixed'!$B$10,'E-Mixed'!I181," ")</f>
        <v xml:space="preserve"> </v>
      </c>
      <c r="I181" s="126" t="str">
        <f>IF('E-Mixed'!A181&lt;'Adj-Mixed'!$B$10,'E-Mixed'!A181," ")</f>
        <v xml:space="preserve"> </v>
      </c>
      <c r="J181" s="26" t="str">
        <f>IF('E-Mixed'!A181&lt;'Adj-Mixed'!$B$10,'E-Mixed'!J181," ")</f>
        <v xml:space="preserve"> </v>
      </c>
      <c r="K181" s="28" t="str">
        <f>IF('E-Mixed'!A181&lt;'Adj-Mixed'!$B$10,'E-Mixed'!N181," ")</f>
        <v xml:space="preserve"> </v>
      </c>
      <c r="L181" s="27" t="str">
        <f>IF('E-Mixed'!A181&lt;'Adj-Mixed'!$B$10,'E-Mixed'!K181," ")</f>
        <v xml:space="preserve"> </v>
      </c>
      <c r="M181" s="31" t="str">
        <f>IF('E-Mixed'!A181&lt;'Adj-Mixed'!$B$10,'E-Mixed'!M181," ")</f>
        <v xml:space="preserve"> </v>
      </c>
      <c r="N181" t="str">
        <f>IF('E-Mixed'!A181&lt;'Adj-Mixed'!$B$10,1/L181," ")</f>
        <v xml:space="preserve"> </v>
      </c>
      <c r="P181" t="str">
        <f t="shared" si="10"/>
        <v/>
      </c>
      <c r="Q181" t="str">
        <f t="shared" si="11"/>
        <v/>
      </c>
      <c r="R181" s="106" t="str">
        <f t="shared" si="9"/>
        <v/>
      </c>
    </row>
    <row r="182" spans="1:18" x14ac:dyDescent="0.25">
      <c r="A182" s="28" t="str">
        <f>IF('E-Mixed'!A182&lt;'Adj-Mixed'!$B$10,'E-Mixed'!B182," ")</f>
        <v xml:space="preserve"> </v>
      </c>
      <c r="B182" s="126" t="str">
        <f>IF('E-Mixed'!A182&lt;'Adj-Mixed'!$B$10,'E-Mixed'!A182," ")</f>
        <v xml:space="preserve"> </v>
      </c>
      <c r="C182" s="26" t="str">
        <f>IF('E-Mixed'!A182&lt;'Adj-Mixed'!$B$10,'E-Mixed'!C182," ")</f>
        <v xml:space="preserve"> </v>
      </c>
      <c r="D182" s="28" t="str">
        <f>IF('E-Mixed'!A182&lt;'Adj-Mixed'!$B$10,'E-Mixed'!G182," ")</f>
        <v xml:space="preserve"> </v>
      </c>
      <c r="E182" s="27" t="str">
        <f>IF('E-Mixed'!A182&lt;'Adj-Mixed'!$B$10,'E-Mixed'!D182," ")</f>
        <v xml:space="preserve"> </v>
      </c>
      <c r="F182" s="92"/>
      <c r="G182" s="92" t="str">
        <f>IFERROR(I182,"")</f>
        <v xml:space="preserve"> </v>
      </c>
      <c r="H182" s="28" t="str">
        <f>IF('E-Mixed'!A182&lt;'Adj-Mixed'!$B$10,'E-Mixed'!I182," ")</f>
        <v xml:space="preserve"> </v>
      </c>
      <c r="I182" s="126" t="str">
        <f>IF('E-Mixed'!A182&lt;'Adj-Mixed'!$B$10,'E-Mixed'!A182," ")</f>
        <v xml:space="preserve"> </v>
      </c>
      <c r="J182" s="26" t="str">
        <f>IF('E-Mixed'!A182&lt;'Adj-Mixed'!$B$10,'E-Mixed'!J182," ")</f>
        <v xml:space="preserve"> </v>
      </c>
      <c r="K182" s="28" t="str">
        <f>IF('E-Mixed'!A182&lt;'Adj-Mixed'!$B$10,'E-Mixed'!N182," ")</f>
        <v xml:space="preserve"> </v>
      </c>
      <c r="L182" s="27" t="str">
        <f>IF('E-Mixed'!A182&lt;'Adj-Mixed'!$B$10,'E-Mixed'!K182," ")</f>
        <v xml:space="preserve"> </v>
      </c>
      <c r="M182" s="31" t="str">
        <f>IF('E-Mixed'!A182&lt;'Adj-Mixed'!$B$10,'E-Mixed'!M182," ")</f>
        <v xml:space="preserve"> </v>
      </c>
      <c r="N182" t="str">
        <f>IF('E-Mixed'!A182&lt;'Adj-Mixed'!$B$10,1/L182," ")</f>
        <v xml:space="preserve"> </v>
      </c>
      <c r="P182" t="str">
        <f t="shared" si="10"/>
        <v/>
      </c>
      <c r="Q182" t="str">
        <f t="shared" si="11"/>
        <v/>
      </c>
      <c r="R182" s="106" t="str">
        <f t="shared" si="9"/>
        <v/>
      </c>
    </row>
    <row r="183" spans="1:18" x14ac:dyDescent="0.25">
      <c r="A183" s="28" t="str">
        <f>IF('E-Mixed'!A183&lt;'Adj-Mixed'!$B$10,'E-Mixed'!B183," ")</f>
        <v xml:space="preserve"> </v>
      </c>
      <c r="B183" s="126" t="str">
        <f>IF('E-Mixed'!A183&lt;'Adj-Mixed'!$B$10,'E-Mixed'!A183," ")</f>
        <v xml:space="preserve"> </v>
      </c>
      <c r="C183" s="26" t="str">
        <f>IF('E-Mixed'!A183&lt;'Adj-Mixed'!$B$10,'E-Mixed'!C183," ")</f>
        <v xml:space="preserve"> </v>
      </c>
      <c r="D183" s="28" t="str">
        <f>IF('E-Mixed'!A183&lt;'Adj-Mixed'!$B$10,'E-Mixed'!G183," ")</f>
        <v xml:space="preserve"> </v>
      </c>
      <c r="E183" s="27" t="str">
        <f>IF('E-Mixed'!A183&lt;'Adj-Mixed'!$B$10,'E-Mixed'!D183," ")</f>
        <v xml:space="preserve"> </v>
      </c>
      <c r="F183" s="92"/>
      <c r="G183" s="92" t="str">
        <f t="shared" si="8"/>
        <v xml:space="preserve"> </v>
      </c>
      <c r="H183" s="28" t="str">
        <f>IF('E-Mixed'!A183&lt;'Adj-Mixed'!$B$10,'E-Mixed'!I183," ")</f>
        <v xml:space="preserve"> </v>
      </c>
      <c r="I183" s="126" t="str">
        <f>IF('E-Mixed'!A183&lt;'Adj-Mixed'!$B$10,'E-Mixed'!A183," ")</f>
        <v xml:space="preserve"> </v>
      </c>
      <c r="J183" s="26" t="str">
        <f>IF('E-Mixed'!A183&lt;'Adj-Mixed'!$B$10,'E-Mixed'!J183," ")</f>
        <v xml:space="preserve"> </v>
      </c>
      <c r="K183" s="28" t="str">
        <f>IF('E-Mixed'!A183&lt;'Adj-Mixed'!$B$10,'E-Mixed'!N183," ")</f>
        <v xml:space="preserve"> </v>
      </c>
      <c r="L183" s="27" t="str">
        <f>IF('E-Mixed'!A183&lt;'Adj-Mixed'!$B$10,'E-Mixed'!K183," ")</f>
        <v xml:space="preserve"> </v>
      </c>
      <c r="M183" s="31" t="str">
        <f>IF('E-Mixed'!A183&lt;'Adj-Mixed'!$B$10,'E-Mixed'!M183," ")</f>
        <v xml:space="preserve"> </v>
      </c>
      <c r="N183" t="str">
        <f>IF('E-Mixed'!A183&lt;'Adj-Mixed'!$B$10,1/L183," ")</f>
        <v xml:space="preserve"> </v>
      </c>
      <c r="P183" t="str">
        <f t="shared" si="10"/>
        <v/>
      </c>
      <c r="Q183" t="str">
        <f t="shared" si="11"/>
        <v/>
      </c>
      <c r="R183" s="106" t="str">
        <f t="shared" si="9"/>
        <v/>
      </c>
    </row>
    <row r="184" spans="1:18" x14ac:dyDescent="0.25">
      <c r="A184" s="28" t="str">
        <f>IF('E-Mixed'!A184&lt;'Adj-Mixed'!$B$10,'E-Mixed'!B184," ")</f>
        <v xml:space="preserve"> </v>
      </c>
      <c r="B184" s="126" t="str">
        <f>IF('E-Mixed'!A184&lt;'Adj-Mixed'!$B$10,'E-Mixed'!A184," ")</f>
        <v xml:space="preserve"> </v>
      </c>
      <c r="C184" s="26" t="str">
        <f>IF('E-Mixed'!A184&lt;'Adj-Mixed'!$B$10,'E-Mixed'!C184," ")</f>
        <v xml:space="preserve"> </v>
      </c>
      <c r="D184" s="28" t="str">
        <f>IF('E-Mixed'!A184&lt;'Adj-Mixed'!$B$10,'E-Mixed'!G184," ")</f>
        <v xml:space="preserve"> </v>
      </c>
      <c r="E184" s="27" t="str">
        <f>IF('E-Mixed'!A184&lt;'Adj-Mixed'!$B$10,'E-Mixed'!D184," ")</f>
        <v xml:space="preserve"> </v>
      </c>
      <c r="F184" s="92"/>
      <c r="G184" s="92" t="str">
        <f t="shared" si="8"/>
        <v xml:space="preserve"> </v>
      </c>
      <c r="H184" s="28" t="str">
        <f>IF('E-Mixed'!A184&lt;'Adj-Mixed'!$B$10,'E-Mixed'!I184," ")</f>
        <v xml:space="preserve"> </v>
      </c>
      <c r="I184" s="126" t="str">
        <f>IF('E-Mixed'!A184&lt;'Adj-Mixed'!$B$10,'E-Mixed'!A184," ")</f>
        <v xml:space="preserve"> </v>
      </c>
      <c r="J184" s="26" t="str">
        <f>IF('E-Mixed'!A184&lt;'Adj-Mixed'!$B$10,'E-Mixed'!J184," ")</f>
        <v xml:space="preserve"> </v>
      </c>
      <c r="K184" s="28" t="str">
        <f>IF('E-Mixed'!A184&lt;'Adj-Mixed'!$B$10,'E-Mixed'!N184," ")</f>
        <v xml:space="preserve"> </v>
      </c>
      <c r="L184" s="27" t="str">
        <f>IF('E-Mixed'!A184&lt;'Adj-Mixed'!$B$10,'E-Mixed'!K184," ")</f>
        <v xml:space="preserve"> </v>
      </c>
      <c r="M184" s="31" t="str">
        <f>IF('E-Mixed'!A184&lt;'Adj-Mixed'!$B$10,'E-Mixed'!M184," ")</f>
        <v xml:space="preserve"> </v>
      </c>
      <c r="N184" t="str">
        <f>IF('E-Mixed'!A184&lt;'Adj-Mixed'!$B$10,1/L184," ")</f>
        <v xml:space="preserve"> </v>
      </c>
      <c r="P184" t="str">
        <f t="shared" si="10"/>
        <v/>
      </c>
      <c r="Q184" t="str">
        <f t="shared" si="11"/>
        <v/>
      </c>
      <c r="R184" s="106" t="str">
        <f t="shared" si="9"/>
        <v/>
      </c>
    </row>
    <row r="185" spans="1:18" x14ac:dyDescent="0.25">
      <c r="A185" s="28" t="str">
        <f>IF('E-Mixed'!A185&lt;'Adj-Mixed'!$B$10,'E-Mixed'!B185," ")</f>
        <v xml:space="preserve"> </v>
      </c>
      <c r="B185" s="126" t="str">
        <f>IF('E-Mixed'!A185&lt;'Adj-Mixed'!$B$10,'E-Mixed'!A185," ")</f>
        <v xml:space="preserve"> </v>
      </c>
      <c r="C185" s="26" t="str">
        <f>IF('E-Mixed'!A185&lt;'Adj-Mixed'!$B$10,'E-Mixed'!C185," ")</f>
        <v xml:space="preserve"> </v>
      </c>
      <c r="D185" s="28" t="str">
        <f>IF('E-Mixed'!A185&lt;'Adj-Mixed'!$B$10,'E-Mixed'!G185," ")</f>
        <v xml:space="preserve"> </v>
      </c>
      <c r="E185" s="27" t="str">
        <f>IF('E-Mixed'!A185&lt;'Adj-Mixed'!$B$10,'E-Mixed'!D185," ")</f>
        <v xml:space="preserve"> </v>
      </c>
      <c r="F185" s="92"/>
      <c r="G185" s="92" t="str">
        <f t="shared" si="8"/>
        <v xml:space="preserve"> </v>
      </c>
      <c r="H185" s="28" t="str">
        <f>IF('E-Mixed'!A185&lt;'Adj-Mixed'!$B$10,'E-Mixed'!I185," ")</f>
        <v xml:space="preserve"> </v>
      </c>
      <c r="I185" s="126" t="str">
        <f>IF('E-Mixed'!A185&lt;'Adj-Mixed'!$B$10,'E-Mixed'!A185," ")</f>
        <v xml:space="preserve"> </v>
      </c>
      <c r="J185" s="26" t="str">
        <f>IF('E-Mixed'!A185&lt;'Adj-Mixed'!$B$10,'E-Mixed'!J185," ")</f>
        <v xml:space="preserve"> </v>
      </c>
      <c r="K185" s="28" t="str">
        <f>IF('E-Mixed'!A185&lt;'Adj-Mixed'!$B$10,'E-Mixed'!N185," ")</f>
        <v xml:space="preserve"> </v>
      </c>
      <c r="L185" s="27" t="str">
        <f>IF('E-Mixed'!A185&lt;'Adj-Mixed'!$B$10,'E-Mixed'!K185," ")</f>
        <v xml:space="preserve"> </v>
      </c>
      <c r="M185" s="31" t="str">
        <f>IF('E-Mixed'!A185&lt;'Adj-Mixed'!$B$10,'E-Mixed'!M185," ")</f>
        <v xml:space="preserve"> </v>
      </c>
      <c r="N185" t="str">
        <f>IF('E-Mixed'!A185&lt;'Adj-Mixed'!$B$10,1/L185," ")</f>
        <v xml:space="preserve"> </v>
      </c>
      <c r="P185" t="str">
        <f t="shared" si="10"/>
        <v/>
      </c>
      <c r="Q185" t="str">
        <f t="shared" si="11"/>
        <v/>
      </c>
      <c r="R185" s="106" t="str">
        <f t="shared" si="9"/>
        <v/>
      </c>
    </row>
    <row r="186" spans="1:18" x14ac:dyDescent="0.25">
      <c r="A186" s="3"/>
      <c r="B186" s="4"/>
      <c r="C186" s="4"/>
      <c r="D186" s="2"/>
      <c r="E186" s="1"/>
      <c r="F186" s="92"/>
    </row>
    <row r="187" spans="1:18" x14ac:dyDescent="0.25">
      <c r="F187" s="92"/>
    </row>
    <row r="188" spans="1:18" x14ac:dyDescent="0.25">
      <c r="F188" s="92"/>
    </row>
    <row r="189" spans="1:18" x14ac:dyDescent="0.25">
      <c r="F189" s="92"/>
    </row>
    <row r="190" spans="1:18" x14ac:dyDescent="0.25">
      <c r="F190" s="92"/>
    </row>
    <row r="191" spans="1:18" x14ac:dyDescent="0.25">
      <c r="F191" s="92"/>
    </row>
  </sheetData>
  <mergeCells count="2">
    <mergeCell ref="A1:E1"/>
    <mergeCell ref="H1:L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A3177-AF14-49E6-B6D6-C80E8947F688}">
  <sheetPr codeName="Sheet17"/>
  <dimension ref="A1:R185"/>
  <sheetViews>
    <sheetView topLeftCell="D154" zoomScale="80" zoomScaleNormal="80" workbookViewId="0">
      <selection activeCell="K186" sqref="K186"/>
    </sheetView>
  </sheetViews>
  <sheetFormatPr defaultRowHeight="15" x14ac:dyDescent="0.25"/>
  <cols>
    <col min="1" max="1" width="20.7109375" customWidth="1"/>
    <col min="2" max="2" width="12.5703125" customWidth="1"/>
    <col min="3" max="4" width="20.7109375" customWidth="1"/>
    <col min="5" max="6" width="15.85546875" customWidth="1"/>
    <col min="8" max="8" width="20.7109375" customWidth="1"/>
    <col min="9" max="9" width="12.5703125" customWidth="1"/>
    <col min="10" max="11" width="20.7109375" customWidth="1"/>
    <col min="12" max="12" width="15.85546875" customWidth="1"/>
  </cols>
  <sheetData>
    <row r="1" spans="1:18" x14ac:dyDescent="0.25">
      <c r="A1" s="234" t="str">
        <f>'E-Gilts'!B1&amp;" - "&amp;'E-Gilts'!C1</f>
        <v>Gilts - High energy diet</v>
      </c>
      <c r="B1" s="234"/>
      <c r="C1" s="234"/>
      <c r="D1" s="234"/>
      <c r="E1" s="234"/>
      <c r="F1" s="162"/>
      <c r="H1" s="235" t="str">
        <f>'E-Gilts'!I1&amp;" - "&amp;'E-Gilts'!J1</f>
        <v xml:space="preserve">Gilts - Client </v>
      </c>
      <c r="I1" s="235"/>
      <c r="J1" s="235"/>
      <c r="K1" s="235"/>
      <c r="L1" s="235"/>
    </row>
    <row r="2" spans="1:18" x14ac:dyDescent="0.25">
      <c r="A2" s="132" t="str">
        <f>'E-Gilts'!B2</f>
        <v>Body Weight, kg</v>
      </c>
      <c r="B2" s="132" t="str">
        <f>'E-Gilts'!A2</f>
        <v>Age, d</v>
      </c>
      <c r="C2" s="132" t="str">
        <f>'E-Gilts'!C2</f>
        <v>Est. ADG, g/d</v>
      </c>
      <c r="D2" s="132" t="str">
        <f>'E-Gilts'!G2</f>
        <v>Ac. Feed intake, kg</v>
      </c>
      <c r="E2" s="132" t="str">
        <f>'E-Gilts'!D2</f>
        <v>Est. G:F</v>
      </c>
      <c r="F2" s="163"/>
      <c r="G2" t="s">
        <v>13</v>
      </c>
      <c r="H2" s="120" t="str">
        <f>A2</f>
        <v>Body Weight, kg</v>
      </c>
      <c r="I2" s="120" t="str">
        <f>B2</f>
        <v>Age, d</v>
      </c>
      <c r="J2" s="120" t="str">
        <f>C2</f>
        <v>Est. ADG, g/d</v>
      </c>
      <c r="K2" s="120" t="str">
        <f>D2</f>
        <v>Ac. Feed intake, kg</v>
      </c>
      <c r="L2" s="120" t="str">
        <f>E2</f>
        <v>Est. G:F</v>
      </c>
      <c r="M2" t="s">
        <v>95</v>
      </c>
      <c r="N2" t="s">
        <v>96</v>
      </c>
      <c r="P2" t="s">
        <v>65</v>
      </c>
      <c r="Q2" t="s">
        <v>106</v>
      </c>
      <c r="R2" t="s">
        <v>107</v>
      </c>
    </row>
    <row r="3" spans="1:18" x14ac:dyDescent="0.25">
      <c r="A3" s="28">
        <f>IF('E-Gilts'!A3&lt;'Adj-Gilts'!$B$10,'E-Gilts'!B3," ")</f>
        <v>5.965835769993987</v>
      </c>
      <c r="B3" s="26">
        <f>IF('E-Gilts'!A3&lt;'Adj-Gilts'!$B$10,'E-Gilts'!A3," ")</f>
        <v>21</v>
      </c>
      <c r="G3" s="92">
        <f>IFERROR(I3,"")</f>
        <v>21</v>
      </c>
      <c r="H3" s="28">
        <f>IF('E-Gilts'!A3&lt;'Adj-Gilts'!$B$10,'E-Gilts'!I3," ")</f>
        <v>6.0580105212632942</v>
      </c>
      <c r="I3" s="24">
        <f>IF('E-Gilts'!A3&lt;'Adj-Gilts'!$B$10,'E-Gilts'!A3," ")</f>
        <v>21</v>
      </c>
      <c r="K3" s="28"/>
      <c r="M3" s="19"/>
      <c r="N3" s="19"/>
      <c r="O3" s="19"/>
      <c r="R3" s="31">
        <f>IFERROR(IF(H3&lt;0,"",CONVERT(H3,"kg", "lbm")),"")</f>
        <v>13.355627038574953</v>
      </c>
    </row>
    <row r="4" spans="1:18" x14ac:dyDescent="0.25">
      <c r="A4" s="28">
        <f>IF('E-Gilts'!A4&lt;'Adj-Gilts'!$B$10,'E-Gilts'!B4," ")</f>
        <v>6.0470384576507206</v>
      </c>
      <c r="B4" s="26">
        <f>IF('E-Gilts'!A4&lt;'Adj-Gilts'!$B$10,'E-Gilts'!A4," ")</f>
        <v>22</v>
      </c>
      <c r="C4" s="26">
        <f>IF('E-Gilts'!A4&lt;'Adj-Gilts'!$B$10,'E-Gilts'!C4," ")</f>
        <v>81.202687656733559</v>
      </c>
      <c r="D4" s="28">
        <f>IF('E-Gilts'!A4&lt;'Adj-Gilts'!$B$10,'E-Gilts'!G4," ")</f>
        <v>8.0932302477944432E-2</v>
      </c>
      <c r="E4" s="27">
        <f>IF('E-Gilts'!A4&lt;'Adj-Gilts'!$B$10,'E-Gilts'!D4," ")</f>
        <v>1.0033408808412787</v>
      </c>
      <c r="F4" s="27"/>
      <c r="G4" s="92">
        <f t="shared" ref="G4:G67" si="0">IFERROR(I4,"")</f>
        <v>22</v>
      </c>
      <c r="H4" s="28">
        <f>IF('E-Gilts'!A4&lt;'Adj-Gilts'!$B$10,'E-Gilts'!I4," ")</f>
        <v>6.1475270980272505</v>
      </c>
      <c r="I4" s="126">
        <f>IF('E-Gilts'!A4&lt;'Adj-Gilts'!$B$10,'E-Gilts'!A4," ")</f>
        <v>22</v>
      </c>
      <c r="J4" s="26">
        <f>IF('E-Gilts'!A4&lt;'Adj-Gilts'!$B$10,'E-Gilts'!J4," ")</f>
        <v>89.516576763955968</v>
      </c>
      <c r="K4" s="28">
        <f>IF('E-Gilts'!A4&lt;'Adj-Gilts'!$B$10,'E-Gilts'!N4," ")</f>
        <v>0.10049283376435376</v>
      </c>
      <c r="L4" s="122">
        <f>IF('E-Gilts'!A4&lt;'Adj-Gilts'!$B$10,'E-Gilts'!K4," ")</f>
        <v>0.89077572410649619</v>
      </c>
      <c r="M4">
        <f>IF('E-Gilts'!A4&lt;'Adj-Gilts'!$B$10,'E-Gilts'!M4," ")</f>
        <v>0.10049283376435376</v>
      </c>
      <c r="N4" s="30">
        <f>IF('E-Gilts'!A4&lt;'Adj-Gilts'!$B$10,1/L4," ")</f>
        <v>1.1226170324781388</v>
      </c>
      <c r="O4" s="19"/>
      <c r="P4" s="31">
        <f>IFERROR(IF(J4&lt;0,"",CONVERT(J4,"g", "lbm")),"")</f>
        <v>0.19735027016427981</v>
      </c>
      <c r="Q4" s="31">
        <f>IFERROR(IF(M4&lt;0,"",CONVERT(M4,"kg", "lbm")),"")</f>
        <v>0.22154877465058276</v>
      </c>
      <c r="R4" s="31">
        <f>IFERROR(IF(H4&lt;0,"",CONVERT(H4,"kg", "lbm")),"")</f>
        <v>13.552977308739234</v>
      </c>
    </row>
    <row r="5" spans="1:18" x14ac:dyDescent="0.25">
      <c r="A5" s="28">
        <f>IF('E-Gilts'!A5&lt;'Adj-Gilts'!$B$10,'E-Gilts'!B5," ")</f>
        <v>6.1519939918419846</v>
      </c>
      <c r="B5" s="26">
        <f>IF('E-Gilts'!A5&lt;'Adj-Gilts'!$B$10,'E-Gilts'!A5," ")</f>
        <v>23</v>
      </c>
      <c r="C5" s="26">
        <f>IF('E-Gilts'!A5&lt;'Adj-Gilts'!$B$10,'E-Gilts'!C5," ")</f>
        <v>104.95553419126402</v>
      </c>
      <c r="D5" s="28">
        <f>IF('E-Gilts'!A5&lt;'Adj-Gilts'!$B$10,'E-Gilts'!G5," ")</f>
        <v>0.18655395308910366</v>
      </c>
      <c r="E5" s="27">
        <f>IF('E-Gilts'!A5&lt;'Adj-Gilts'!$B$10,'E-Gilts'!D5," ")</f>
        <v>0.99369337237166022</v>
      </c>
      <c r="F5" s="27"/>
      <c r="G5" s="92">
        <f t="shared" si="0"/>
        <v>23</v>
      </c>
      <c r="H5" s="28">
        <f>IF('E-Gilts'!A5&lt;'Adj-Gilts'!$B$10,'E-Gilts'!I5," ")</f>
        <v>6.2632284424575069</v>
      </c>
      <c r="I5" s="126">
        <f>IF('E-Gilts'!A5&lt;'Adj-Gilts'!$B$10,'E-Gilts'!A5," ")</f>
        <v>23</v>
      </c>
      <c r="J5" s="26">
        <f>IF('E-Gilts'!A5&lt;'Adj-Gilts'!$B$10,'E-Gilts'!J5," ")</f>
        <v>115.70134443025678</v>
      </c>
      <c r="K5" s="28">
        <f>IF('E-Gilts'!A5&lt;'Adj-Gilts'!$B$10,'E-Gilts'!N5," ")</f>
        <v>0.23164218515808743</v>
      </c>
      <c r="L5" s="122">
        <f>IF('E-Gilts'!A5&lt;'Adj-Gilts'!$B$10,'E-Gilts'!K5," ")</f>
        <v>0.88221057291317262</v>
      </c>
      <c r="M5">
        <f>IF('E-Gilts'!A5&lt;'Adj-Gilts'!$B$10,'E-Gilts'!M5," ")</f>
        <v>0.13114935139373368</v>
      </c>
      <c r="N5" s="30">
        <f>IF('E-Gilts'!A5&lt;'Adj-Gilts'!$B$10,1/L5," ")</f>
        <v>1.1335162269682073</v>
      </c>
      <c r="O5" s="19"/>
      <c r="P5" s="31">
        <f t="shared" ref="P5:P68" si="1">IFERROR(IF(J5&lt;0,"",CONVERT(J5,"g", "lbm")),"")</f>
        <v>0.25507780130926094</v>
      </c>
      <c r="Q5" s="31">
        <f t="shared" ref="Q5:Q68" si="2">IFERROR(IF(M5&lt;0,"",CONVERT(M5,"kg", "lbm")),"")</f>
        <v>0.28913482692341952</v>
      </c>
      <c r="R5" s="31">
        <f t="shared" ref="R5:R68" si="3">IFERROR(IF(H5&lt;0,"",CONVERT(H5,"kg", "lbm")),"")</f>
        <v>13.808055110048493</v>
      </c>
    </row>
    <row r="6" spans="1:18" x14ac:dyDescent="0.25">
      <c r="A6" s="28">
        <f>IF('E-Gilts'!A6&lt;'Adj-Gilts'!$B$10,'E-Gilts'!B6," ")</f>
        <v>6.280136828602668</v>
      </c>
      <c r="B6" s="26">
        <f>IF('E-Gilts'!A6&lt;'Adj-Gilts'!$B$10,'E-Gilts'!A6," ")</f>
        <v>24</v>
      </c>
      <c r="C6" s="26">
        <f>IF('E-Gilts'!A6&lt;'Adj-Gilts'!$B$10,'E-Gilts'!C6," ")</f>
        <v>128.14283676068339</v>
      </c>
      <c r="D6" s="28">
        <f>IF('E-Gilts'!A6&lt;'Adj-Gilts'!$B$10,'E-Gilts'!G6," ")</f>
        <v>0.31675003069105467</v>
      </c>
      <c r="E6" s="27">
        <f>IF('E-Gilts'!A6&lt;'Adj-Gilts'!$B$10,'E-Gilts'!D6," ")</f>
        <v>0.98422962596811137</v>
      </c>
      <c r="F6" s="27"/>
      <c r="G6" s="92">
        <f t="shared" si="0"/>
        <v>24</v>
      </c>
      <c r="H6" s="28">
        <f>IF('E-Gilts'!A6&lt;'Adj-Gilts'!$B$10,'E-Gilts'!I6," ")</f>
        <v>6.404491107704863</v>
      </c>
      <c r="I6" s="126">
        <f>IF('E-Gilts'!A6&lt;'Adj-Gilts'!$B$10,'E-Gilts'!A6," ")</f>
        <v>24</v>
      </c>
      <c r="J6" s="26">
        <f>IF('E-Gilts'!A6&lt;'Adj-Gilts'!$B$10,'E-Gilts'!J6," ")</f>
        <v>141.26266524735641</v>
      </c>
      <c r="K6" s="28">
        <f>IF('E-Gilts'!A6&lt;'Adj-Gilts'!$B$10,'E-Gilts'!N6," ")</f>
        <v>0.39330535774346315</v>
      </c>
      <c r="L6" s="122">
        <f>IF('E-Gilts'!A6&lt;'Adj-Gilts'!$B$10,'E-Gilts'!K6," ")</f>
        <v>0.87380856745684854</v>
      </c>
      <c r="M6">
        <f>IF('E-Gilts'!A6&lt;'Adj-Gilts'!$B$10,'E-Gilts'!M6," ")</f>
        <v>0.16166317258537571</v>
      </c>
      <c r="N6" s="30">
        <f>IF('E-Gilts'!A6&lt;'Adj-Gilts'!$B$10,1/L6," ")</f>
        <v>1.1444154214582969</v>
      </c>
      <c r="O6" s="19"/>
      <c r="P6" s="31">
        <f t="shared" si="1"/>
        <v>0.31143086742697285</v>
      </c>
      <c r="Q6" s="31">
        <f t="shared" si="2"/>
        <v>0.35640628740156211</v>
      </c>
      <c r="R6" s="31">
        <f t="shared" si="3"/>
        <v>14.119485977475465</v>
      </c>
    </row>
    <row r="7" spans="1:18" x14ac:dyDescent="0.25">
      <c r="A7" s="28">
        <f>IF('E-Gilts'!A7&lt;'Adj-Gilts'!$B$10,'E-Gilts'!B7," ")</f>
        <v>6.4309014239676667</v>
      </c>
      <c r="B7" s="26">
        <f>IF('E-Gilts'!A7&lt;'Adj-Gilts'!$B$10,'E-Gilts'!A7," ")</f>
        <v>25</v>
      </c>
      <c r="C7" s="26">
        <f>IF('E-Gilts'!A7&lt;'Adj-Gilts'!$B$10,'E-Gilts'!C7," ")</f>
        <v>150.76459536499874</v>
      </c>
      <c r="D7" s="28">
        <f>IF('E-Gilts'!A7&lt;'Adj-Gilts'!$B$10,'E-Gilts'!G7," ")</f>
        <v>0.47138919683531677</v>
      </c>
      <c r="E7" s="27">
        <f>IF('E-Gilts'!A7&lt;'Adj-Gilts'!$B$10,'E-Gilts'!D7," ")</f>
        <v>0.97494444081747833</v>
      </c>
      <c r="F7" s="27"/>
      <c r="G7" s="92">
        <f t="shared" si="0"/>
        <v>25</v>
      </c>
      <c r="H7" s="28">
        <f>IF('E-Gilts'!A7&lt;'Adj-Gilts'!$B$10,'E-Gilts'!I7," ")</f>
        <v>6.5706916469201255</v>
      </c>
      <c r="I7" s="126">
        <f>IF('E-Gilts'!A7&lt;'Adj-Gilts'!$B$10,'E-Gilts'!A7," ")</f>
        <v>25</v>
      </c>
      <c r="J7" s="26">
        <f>IF('E-Gilts'!A7&lt;'Adj-Gilts'!$B$10,'E-Gilts'!J7," ")</f>
        <v>166.20053921526264</v>
      </c>
      <c r="K7" s="28">
        <f>IF('E-Gilts'!A7&lt;'Adj-Gilts'!$B$10,'E-Gilts'!N7," ")</f>
        <v>0.58531926987735539</v>
      </c>
      <c r="L7" s="122">
        <f>IF('E-Gilts'!A7&lt;'Adj-Gilts'!$B$10,'E-Gilts'!K7," ")</f>
        <v>0.86556509040537732</v>
      </c>
      <c r="M7">
        <f>IF('E-Gilts'!A7&lt;'Adj-Gilts'!$B$10,'E-Gilts'!M7," ")</f>
        <v>0.19201391213389227</v>
      </c>
      <c r="N7" s="30">
        <f>IF('E-Gilts'!A7&lt;'Adj-Gilts'!$B$10,1/L7," ")</f>
        <v>1.1553146159483647</v>
      </c>
      <c r="O7" s="19"/>
      <c r="P7" s="31">
        <f t="shared" si="1"/>
        <v>0.36640946851743256</v>
      </c>
      <c r="Q7" s="31">
        <f t="shared" si="2"/>
        <v>0.42331821440006201</v>
      </c>
      <c r="R7" s="31">
        <f t="shared" si="3"/>
        <v>14.485895445992897</v>
      </c>
    </row>
    <row r="8" spans="1:18" x14ac:dyDescent="0.25">
      <c r="A8" s="28">
        <f>IF('E-Gilts'!A8&lt;'Adj-Gilts'!$B$10,'E-Gilts'!B8," ")</f>
        <v>6.6037222339718697</v>
      </c>
      <c r="B8" s="26">
        <f>IF('E-Gilts'!A8&lt;'Adj-Gilts'!$B$10,'E-Gilts'!A8," ")</f>
        <v>26</v>
      </c>
      <c r="C8" s="26">
        <f>IF('E-Gilts'!A8&lt;'Adj-Gilts'!$B$10,'E-Gilts'!C8," ")</f>
        <v>172.82081000420303</v>
      </c>
      <c r="D8" s="28">
        <f>IF('E-Gilts'!A8&lt;'Adj-Gilts'!$B$10,'E-Gilts'!G8," ")</f>
        <v>0.65199598080409538</v>
      </c>
      <c r="E8" s="27">
        <f>IF('E-Gilts'!A8&lt;'Adj-Gilts'!$B$10,'E-Gilts'!D8," ")</f>
        <v>0.95688991413566415</v>
      </c>
      <c r="F8" s="27"/>
      <c r="G8" s="92">
        <f t="shared" si="0"/>
        <v>26</v>
      </c>
      <c r="H8" s="28">
        <f>IF('E-Gilts'!A8&lt;'Adj-Gilts'!$B$10,'E-Gilts'!I8," ")</f>
        <v>6.7612066132540933</v>
      </c>
      <c r="I8" s="126">
        <f>IF('E-Gilts'!A8&lt;'Adj-Gilts'!$B$10,'E-Gilts'!A8," ")</f>
        <v>26</v>
      </c>
      <c r="J8" s="26">
        <f>IF('E-Gilts'!A8&lt;'Adj-Gilts'!$B$10,'E-Gilts'!J8," ")</f>
        <v>190.51496633396769</v>
      </c>
      <c r="K8" s="28">
        <f>IF('E-Gilts'!A8&lt;'Adj-Gilts'!$B$10,'E-Gilts'!N8," ")</f>
        <v>0.8095769143825905</v>
      </c>
      <c r="L8" s="122">
        <f>IF('E-Gilts'!A8&lt;'Adj-Gilts'!$B$10,'E-Gilts'!K8," ")</f>
        <v>0.84953610724971418</v>
      </c>
      <c r="M8">
        <f>IF('E-Gilts'!A8&lt;'Adj-Gilts'!$B$10,'E-Gilts'!M8," ")</f>
        <v>0.22425764450523511</v>
      </c>
      <c r="N8" s="30">
        <f>IF('E-Gilts'!A8&lt;'Adj-Gilts'!$B$10,1/L8," ")</f>
        <v>1.1771130049285334</v>
      </c>
      <c r="O8" s="19"/>
      <c r="P8" s="31">
        <f t="shared" si="1"/>
        <v>0.42001360458062309</v>
      </c>
      <c r="Q8" s="31">
        <f t="shared" si="2"/>
        <v>0.49440347619876207</v>
      </c>
      <c r="R8" s="31">
        <f t="shared" si="3"/>
        <v>14.905909050573522</v>
      </c>
    </row>
    <row r="9" spans="1:18" x14ac:dyDescent="0.25">
      <c r="A9" s="28">
        <f>IF('E-Gilts'!A9&lt;'Adj-Gilts'!$B$10,'E-Gilts'!B9," ")</f>
        <v>6.7980337146501713</v>
      </c>
      <c r="B9" s="26">
        <f>IF('E-Gilts'!A9&lt;'Adj-Gilts'!$B$10,'E-Gilts'!A9," ")</f>
        <v>27</v>
      </c>
      <c r="C9" s="26">
        <f>IF('E-Gilts'!A9&lt;'Adj-Gilts'!$B$10,'E-Gilts'!C9," ")</f>
        <v>194.31148067830151</v>
      </c>
      <c r="D9" s="28">
        <f>IF('E-Gilts'!A9&lt;'Adj-Gilts'!$B$10,'E-Gilts'!G9," ")</f>
        <v>0.85773745513478628</v>
      </c>
      <c r="E9" s="27">
        <f>IF('E-Gilts'!A9&lt;'Adj-Gilts'!$B$10,'E-Gilts'!D9," ")</f>
        <v>0.94444487340448513</v>
      </c>
      <c r="F9" s="27"/>
      <c r="G9" s="92">
        <f t="shared" si="0"/>
        <v>27</v>
      </c>
      <c r="H9" s="28">
        <f>IF('E-Gilts'!A9&lt;'Adj-Gilts'!$B$10,'E-Gilts'!I9," ")</f>
        <v>6.9754125598575705</v>
      </c>
      <c r="I9" s="126">
        <f>IF('E-Gilts'!A9&lt;'Adj-Gilts'!$B$10,'E-Gilts'!A9," ")</f>
        <v>27</v>
      </c>
      <c r="J9" s="26">
        <f>IF('E-Gilts'!A9&lt;'Adj-Gilts'!$B$10,'E-Gilts'!J9," ")</f>
        <v>214.2059466034774</v>
      </c>
      <c r="K9" s="28">
        <f>IF('E-Gilts'!A9&lt;'Adj-Gilts'!$B$10,'E-Gilts'!N9," ")</f>
        <v>1.065044053526218</v>
      </c>
      <c r="L9" s="122">
        <f>IF('E-Gilts'!A9&lt;'Adj-Gilts'!$B$10,'E-Gilts'!K9," ")</f>
        <v>0.8384872798964863</v>
      </c>
      <c r="M9">
        <f>IF('E-Gilts'!A9&lt;'Adj-Gilts'!$B$10,'E-Gilts'!M9," ")</f>
        <v>0.25546713914362745</v>
      </c>
      <c r="N9" s="30">
        <f>IF('E-Gilts'!A9&lt;'Adj-Gilts'!$B$10,1/L9," ")</f>
        <v>1.1926239359569688</v>
      </c>
      <c r="O9" s="19"/>
      <c r="P9" s="31">
        <f t="shared" si="1"/>
        <v>0.47224327561655721</v>
      </c>
      <c r="Q9" s="31">
        <f t="shared" si="2"/>
        <v>0.56320863409502997</v>
      </c>
      <c r="R9" s="31">
        <f t="shared" si="3"/>
        <v>15.378152326190078</v>
      </c>
    </row>
    <row r="10" spans="1:18" x14ac:dyDescent="0.25">
      <c r="A10" s="28">
        <f>IF('E-Gilts'!A10&lt;'Adj-Gilts'!$B$10,'E-Gilts'!B10," ")</f>
        <v>7.0132703220374628</v>
      </c>
      <c r="B10" s="26">
        <f>IF('E-Gilts'!A10&lt;'Adj-Gilts'!$B$10,'E-Gilts'!A10," ")</f>
        <v>28</v>
      </c>
      <c r="C10" s="26">
        <f>IF('E-Gilts'!A10&lt;'Adj-Gilts'!$B$10,'E-Gilts'!C10," ")</f>
        <v>215.23660738729154</v>
      </c>
      <c r="D10" s="28">
        <f>IF('E-Gilts'!A10&lt;'Adj-Gilts'!$B$10,'E-Gilts'!G10," ")</f>
        <v>1.0886136198273899</v>
      </c>
      <c r="E10" s="27">
        <f>IF('E-Gilts'!A10&lt;'Adj-Gilts'!$B$10,'E-Gilts'!D10," ")</f>
        <v>0.93225997440604125</v>
      </c>
      <c r="F10" s="27"/>
      <c r="G10" s="92">
        <f t="shared" si="0"/>
        <v>28</v>
      </c>
      <c r="H10" s="28">
        <f>IF('E-Gilts'!A10&lt;'Adj-Gilts'!$B$10,'E-Gilts'!I10," ")</f>
        <v>7.2126860398813593</v>
      </c>
      <c r="I10" s="126">
        <f>IF('E-Gilts'!A10&lt;'Adj-Gilts'!$B$10,'E-Gilts'!A10," ")</f>
        <v>28</v>
      </c>
      <c r="J10" s="26">
        <f>IF('E-Gilts'!A10&lt;'Adj-Gilts'!$B$10,'E-Gilts'!J10," ")</f>
        <v>237.27348002378884</v>
      </c>
      <c r="K10" s="28">
        <f>IF('E-Gilts'!A10&lt;'Adj-Gilts'!$B$10,'E-Gilts'!N10," ")</f>
        <v>1.3517206873082384</v>
      </c>
      <c r="L10" s="122">
        <f>IF('E-Gilts'!A10&lt;'Adj-Gilts'!$B$10,'E-Gilts'!K10," ")</f>
        <v>0.82766940888598539</v>
      </c>
      <c r="M10">
        <f>IF('E-Gilts'!A10&lt;'Adj-Gilts'!$B$10,'E-Gilts'!M10," ")</f>
        <v>0.2866766337820203</v>
      </c>
      <c r="N10" s="30">
        <f>IF('E-Gilts'!A10&lt;'Adj-Gilts'!$B$10,1/L10," ")</f>
        <v>1.2082118648627664</v>
      </c>
      <c r="O10" s="19"/>
      <c r="P10" s="31">
        <f t="shared" si="1"/>
        <v>0.52309848162522843</v>
      </c>
      <c r="Q10" s="31">
        <f t="shared" si="2"/>
        <v>0.63201379199129892</v>
      </c>
      <c r="R10" s="31">
        <f t="shared" si="3"/>
        <v>15.901250807815307</v>
      </c>
    </row>
    <row r="11" spans="1:18" x14ac:dyDescent="0.25">
      <c r="A11" s="28">
        <f>IF('E-Gilts'!A11&lt;'Adj-Gilts'!$B$10,'E-Gilts'!B11," ")</f>
        <v>7.248866512168636</v>
      </c>
      <c r="B11" s="26">
        <f>IF('E-Gilts'!A11&lt;'Adj-Gilts'!$B$10,'E-Gilts'!A11," ")</f>
        <v>29</v>
      </c>
      <c r="C11" s="26">
        <f>IF('E-Gilts'!A11&lt;'Adj-Gilts'!$B$10,'E-Gilts'!C11," ")</f>
        <v>235.59619013117316</v>
      </c>
      <c r="D11" s="28">
        <f>IF('E-Gilts'!A11&lt;'Adj-Gilts'!$B$10,'E-Gilts'!G11," ")</f>
        <v>1.3446244748819054</v>
      </c>
      <c r="E11" s="27">
        <f>IF('E-Gilts'!A11&lt;'Adj-Gilts'!$B$10,'E-Gilts'!D11," ")</f>
        <v>0.92025859638258212</v>
      </c>
      <c r="F11" s="27"/>
      <c r="G11" s="92">
        <f t="shared" si="0"/>
        <v>29</v>
      </c>
      <c r="H11" s="28">
        <f>IF('E-Gilts'!A11&lt;'Adj-Gilts'!$B$10,'E-Gilts'!I11," ")</f>
        <v>7.4724036064762611</v>
      </c>
      <c r="I11" s="126">
        <f>IF('E-Gilts'!A11&lt;'Adj-Gilts'!$B$10,'E-Gilts'!A11," ")</f>
        <v>29</v>
      </c>
      <c r="J11" s="26">
        <f>IF('E-Gilts'!A11&lt;'Adj-Gilts'!$B$10,'E-Gilts'!J11," ")</f>
        <v>259.717566594902</v>
      </c>
      <c r="K11" s="28">
        <f>IF('E-Gilts'!A11&lt;'Adj-Gilts'!$B$10,'E-Gilts'!N11," ")</f>
        <v>1.6696068157286506</v>
      </c>
      <c r="L11" s="122">
        <f>IF('E-Gilts'!A11&lt;'Adj-Gilts'!$B$10,'E-Gilts'!K11," ")</f>
        <v>0.8170144695694902</v>
      </c>
      <c r="M11">
        <f>IF('E-Gilts'!A11&lt;'Adj-Gilts'!$B$10,'E-Gilts'!M11," ")</f>
        <v>0.31788612842041225</v>
      </c>
      <c r="N11" s="30">
        <f>IF('E-Gilts'!A11&lt;'Adj-Gilts'!$B$10,1/L11," ")</f>
        <v>1.2239685308473551</v>
      </c>
      <c r="O11" s="19"/>
      <c r="P11" s="31">
        <f t="shared" si="1"/>
        <v>0.57257922260663685</v>
      </c>
      <c r="Q11" s="31">
        <f t="shared" si="2"/>
        <v>0.70081894988756588</v>
      </c>
      <c r="R11" s="31">
        <f t="shared" si="3"/>
        <v>16.47383003042194</v>
      </c>
    </row>
    <row r="12" spans="1:18" x14ac:dyDescent="0.25">
      <c r="A12" s="28">
        <f>IF('E-Gilts'!A12&lt;'Adj-Gilts'!$B$10,'E-Gilts'!B12," ")</f>
        <v>7.5042567410785841</v>
      </c>
      <c r="B12" s="26">
        <f>IF('E-Gilts'!A12&lt;'Adj-Gilts'!$B$10,'E-Gilts'!A12," ")</f>
        <v>30</v>
      </c>
      <c r="C12" s="26">
        <f>IF('E-Gilts'!A12&lt;'Adj-Gilts'!$B$10,'E-Gilts'!C12," ")</f>
        <v>255.39022890994812</v>
      </c>
      <c r="D12" s="28">
        <f>IF('E-Gilts'!A12&lt;'Adj-Gilts'!$B$10,'E-Gilts'!G12," ")</f>
        <v>1.6257700202983343</v>
      </c>
      <c r="E12" s="27">
        <f>IF('E-Gilts'!A12&lt;'Adj-Gilts'!$B$10,'E-Gilts'!D12," ")</f>
        <v>0.90839151846303523</v>
      </c>
      <c r="F12" s="27"/>
      <c r="G12" s="92">
        <f t="shared" si="0"/>
        <v>30</v>
      </c>
      <c r="H12" s="28">
        <f>IF('E-Gilts'!A12&lt;'Adj-Gilts'!$B$10,'E-Gilts'!I12," ")</f>
        <v>7.7539418127930801</v>
      </c>
      <c r="I12" s="126">
        <f>IF('E-Gilts'!A12&lt;'Adj-Gilts'!$B$10,'E-Gilts'!A12," ")</f>
        <v>30</v>
      </c>
      <c r="J12" s="26">
        <f>IF('E-Gilts'!A12&lt;'Adj-Gilts'!$B$10,'E-Gilts'!J12," ")</f>
        <v>281.5382063168189</v>
      </c>
      <c r="K12" s="28">
        <f>IF('E-Gilts'!A12&lt;'Adj-Gilts'!$B$10,'E-Gilts'!N12," ")</f>
        <v>2.0187024387874568</v>
      </c>
      <c r="L12" s="122">
        <f>IF('E-Gilts'!A12&lt;'Adj-Gilts'!$B$10,'E-Gilts'!K12," ")</f>
        <v>0.80647876318229594</v>
      </c>
      <c r="M12">
        <f>IF('E-Gilts'!A12&lt;'Adj-Gilts'!$B$10,'E-Gilts'!M12," ")</f>
        <v>0.34909562305880609</v>
      </c>
      <c r="N12" s="30">
        <f>IF('E-Gilts'!A12&lt;'Adj-Gilts'!$B$10,1/L12," ")</f>
        <v>1.2399582551362989</v>
      </c>
      <c r="O12" s="19"/>
      <c r="P12" s="31">
        <f t="shared" si="1"/>
        <v>0.62068549856078681</v>
      </c>
      <c r="Q12" s="31">
        <f t="shared" si="2"/>
        <v>0.76962410778383694</v>
      </c>
      <c r="R12" s="31">
        <f t="shared" si="3"/>
        <v>17.094515528982729</v>
      </c>
    </row>
    <row r="13" spans="1:18" x14ac:dyDescent="0.25">
      <c r="A13" s="28">
        <f>IF('E-Gilts'!A13&lt;'Adj-Gilts'!$B$10,'E-Gilts'!B13," ")</f>
        <v>7.7788754648021987</v>
      </c>
      <c r="B13" s="26">
        <f>IF('E-Gilts'!A13&lt;'Adj-Gilts'!$B$10,'E-Gilts'!A13," ")</f>
        <v>31</v>
      </c>
      <c r="C13" s="26">
        <f>IF('E-Gilts'!A13&lt;'Adj-Gilts'!$B$10,'E-Gilts'!C13," ")</f>
        <v>274.61872372361461</v>
      </c>
      <c r="D13" s="28">
        <f>IF('E-Gilts'!A13&lt;'Adj-Gilts'!$B$10,'E-Gilts'!G13," ")</f>
        <v>1.9320502560766759</v>
      </c>
      <c r="E13" s="27">
        <f>IF('E-Gilts'!A13&lt;'Adj-Gilts'!$B$10,'E-Gilts'!D13," ")</f>
        <v>0.89662567689271067</v>
      </c>
      <c r="F13" s="27"/>
      <c r="G13" s="92">
        <f t="shared" si="0"/>
        <v>31</v>
      </c>
      <c r="H13" s="28">
        <f>IF('E-Gilts'!A13&lt;'Adj-Gilts'!$B$10,'E-Gilts'!I13," ")</f>
        <v>8.0566772119826169</v>
      </c>
      <c r="I13" s="126">
        <f>IF('E-Gilts'!A13&lt;'Adj-Gilts'!$B$10,'E-Gilts'!A13," ")</f>
        <v>31</v>
      </c>
      <c r="J13" s="26">
        <f>IF('E-Gilts'!A13&lt;'Adj-Gilts'!$B$10,'E-Gilts'!J13," ")</f>
        <v>302.73539918953747</v>
      </c>
      <c r="K13" s="28">
        <f>IF('E-Gilts'!A13&lt;'Adj-Gilts'!$B$10,'E-Gilts'!N13," ")</f>
        <v>2.3990075564846558</v>
      </c>
      <c r="L13" s="122">
        <f>IF('E-Gilts'!A13&lt;'Adj-Gilts'!$B$10,'E-Gilts'!K13," ")</f>
        <v>0.79603293540366471</v>
      </c>
      <c r="M13">
        <f>IF('E-Gilts'!A13&lt;'Adj-Gilts'!$B$10,'E-Gilts'!M13," ")</f>
        <v>0.38030511769719894</v>
      </c>
      <c r="N13" s="30">
        <f>IF('E-Gilts'!A13&lt;'Adj-Gilts'!$B$10,1/L13," ")</f>
        <v>1.2562294291164027</v>
      </c>
      <c r="O13" s="19"/>
      <c r="P13" s="31">
        <f t="shared" si="1"/>
        <v>0.66741730948767386</v>
      </c>
      <c r="Q13" s="31">
        <f t="shared" si="2"/>
        <v>0.83842926568010601</v>
      </c>
      <c r="R13" s="31">
        <f t="shared" si="3"/>
        <v>17.7619328384704</v>
      </c>
    </row>
    <row r="14" spans="1:18" x14ac:dyDescent="0.25">
      <c r="A14" s="28">
        <f>IF('E-Gilts'!A14&lt;'Adj-Gilts'!$B$10,'E-Gilts'!B14," ")</f>
        <v>8.0721571393743723</v>
      </c>
      <c r="B14" s="26">
        <f>IF('E-Gilts'!A14&lt;'Adj-Gilts'!$B$10,'E-Gilts'!A14," ")</f>
        <v>32</v>
      </c>
      <c r="C14" s="26">
        <f>IF('E-Gilts'!A14&lt;'Adj-Gilts'!$B$10,'E-Gilts'!C14," ")</f>
        <v>293.28167457217359</v>
      </c>
      <c r="D14" s="28">
        <f>IF('E-Gilts'!A14&lt;'Adj-Gilts'!$B$10,'E-Gilts'!G14," ")</f>
        <v>2.2634651822169296</v>
      </c>
      <c r="E14" s="27">
        <f>IF('E-Gilts'!A14&lt;'Adj-Gilts'!$B$10,'E-Gilts'!D14," ")</f>
        <v>0.88493803821031825</v>
      </c>
      <c r="F14" s="27"/>
      <c r="G14" s="92">
        <f t="shared" si="0"/>
        <v>32</v>
      </c>
      <c r="H14" s="28">
        <f>IF('E-Gilts'!A14&lt;'Adj-Gilts'!$B$10,'E-Gilts'!I14," ")</f>
        <v>8.3799863571956763</v>
      </c>
      <c r="I14" s="126">
        <f>IF('E-Gilts'!A14&lt;'Adj-Gilts'!$B$10,'E-Gilts'!A14," ")</f>
        <v>32</v>
      </c>
      <c r="J14" s="26">
        <f>IF('E-Gilts'!A14&lt;'Adj-Gilts'!$B$10,'E-Gilts'!J14," ")</f>
        <v>323.3091452130588</v>
      </c>
      <c r="K14" s="28">
        <f>IF('E-Gilts'!A14&lt;'Adj-Gilts'!$B$10,'E-Gilts'!N14," ")</f>
        <v>2.8105221688202469</v>
      </c>
      <c r="L14" s="122">
        <f>IF('E-Gilts'!A14&lt;'Adj-Gilts'!$B$10,'E-Gilts'!K14," ")</f>
        <v>0.78565653690420978</v>
      </c>
      <c r="M14">
        <f>IF('E-Gilts'!A14&lt;'Adj-Gilts'!$B$10,'E-Gilts'!M14," ")</f>
        <v>0.411514612335591</v>
      </c>
      <c r="N14" s="30">
        <f>IF('E-Gilts'!A14&lt;'Adj-Gilts'!$B$10,1/L14," ")</f>
        <v>1.2728208231301508</v>
      </c>
      <c r="O14" s="19"/>
      <c r="P14" s="31">
        <f t="shared" si="1"/>
        <v>0.71277465538730023</v>
      </c>
      <c r="Q14" s="31">
        <f t="shared" si="2"/>
        <v>0.90723442357637318</v>
      </c>
      <c r="R14" s="31">
        <f t="shared" si="3"/>
        <v>18.474707493857704</v>
      </c>
    </row>
    <row r="15" spans="1:18" x14ac:dyDescent="0.25">
      <c r="A15" s="28">
        <f>IF('E-Gilts'!A15&lt;'Adj-Gilts'!$B$10,'E-Gilts'!B15," ")</f>
        <v>8.3835362208299973</v>
      </c>
      <c r="B15" s="26">
        <f>IF('E-Gilts'!A15&lt;'Adj-Gilts'!$B$10,'E-Gilts'!A15," ")</f>
        <v>33</v>
      </c>
      <c r="C15" s="26">
        <f>IF('E-Gilts'!A15&lt;'Adj-Gilts'!$B$10,'E-Gilts'!C15," ")</f>
        <v>311.379081455625</v>
      </c>
      <c r="D15" s="28">
        <f>IF('E-Gilts'!A15&lt;'Adj-Gilts'!$B$10,'E-Gilts'!G15," ")</f>
        <v>2.6200147987190965</v>
      </c>
      <c r="E15" s="27">
        <f>IF('E-Gilts'!A15&lt;'Adj-Gilts'!$B$10,'E-Gilts'!D15," ")</f>
        <v>0.87331206385895088</v>
      </c>
      <c r="F15" s="27"/>
      <c r="G15" s="92">
        <f t="shared" si="0"/>
        <v>33</v>
      </c>
      <c r="H15" s="28">
        <f>IF('E-Gilts'!A15&lt;'Adj-Gilts'!$B$10,'E-Gilts'!I15," ")</f>
        <v>8.7232458015830598</v>
      </c>
      <c r="I15" s="126">
        <f>IF('E-Gilts'!A15&lt;'Adj-Gilts'!$B$10,'E-Gilts'!A15," ")</f>
        <v>33</v>
      </c>
      <c r="J15" s="26">
        <f>IF('E-Gilts'!A15&lt;'Adj-Gilts'!$B$10,'E-Gilts'!J15," ")</f>
        <v>343.25944438738281</v>
      </c>
      <c r="K15" s="28">
        <f>IF('E-Gilts'!A15&lt;'Adj-Gilts'!$B$10,'E-Gilts'!N15," ")</f>
        <v>3.2532462757942318</v>
      </c>
      <c r="L15" s="122">
        <f>IF('E-Gilts'!A15&lt;'Adj-Gilts'!$B$10,'E-Gilts'!K15," ")</f>
        <v>0.77533488459338251</v>
      </c>
      <c r="M15">
        <f>IF('E-Gilts'!A15&lt;'Adj-Gilts'!$B$10,'E-Gilts'!M15," ")</f>
        <v>0.44272410697398479</v>
      </c>
      <c r="N15" s="30">
        <f>IF('E-Gilts'!A15&lt;'Adj-Gilts'!$B$10,1/L15," ")</f>
        <v>1.289765261270865</v>
      </c>
      <c r="O15" s="19"/>
      <c r="P15" s="31">
        <f t="shared" si="1"/>
        <v>0.75675753625966591</v>
      </c>
      <c r="Q15" s="31">
        <f t="shared" si="2"/>
        <v>0.97603958147264414</v>
      </c>
      <c r="R15" s="31">
        <f t="shared" si="3"/>
        <v>19.23146503011737</v>
      </c>
    </row>
    <row r="16" spans="1:18" x14ac:dyDescent="0.25">
      <c r="A16" s="28">
        <f>IF('E-Gilts'!A16&lt;'Adj-Gilts'!$B$10,'E-Gilts'!B16," ")</f>
        <v>8.7124471652039635</v>
      </c>
      <c r="B16" s="26">
        <f>IF('E-Gilts'!A16&lt;'Adj-Gilts'!$B$10,'E-Gilts'!A16," ")</f>
        <v>34</v>
      </c>
      <c r="C16" s="26">
        <f>IF('E-Gilts'!A16&lt;'Adj-Gilts'!$B$10,'E-Gilts'!C16," ")</f>
        <v>328.91094437396617</v>
      </c>
      <c r="D16" s="28">
        <f>IF('E-Gilts'!A16&lt;'Adj-Gilts'!$B$10,'E-Gilts'!G16," ")</f>
        <v>3.0016991055831745</v>
      </c>
      <c r="E16" s="27">
        <f>IF('E-Gilts'!A16&lt;'Adj-Gilts'!$B$10,'E-Gilts'!D16," ")</f>
        <v>0.86173557167257375</v>
      </c>
      <c r="F16" s="27"/>
      <c r="G16" s="92">
        <f t="shared" si="0"/>
        <v>34</v>
      </c>
      <c r="H16" s="28">
        <f>IF('E-Gilts'!A16&lt;'Adj-Gilts'!$B$10,'E-Gilts'!I16," ")</f>
        <v>9.0858320982955671</v>
      </c>
      <c r="I16" s="126">
        <f>IF('E-Gilts'!A16&lt;'Adj-Gilts'!$B$10,'E-Gilts'!A16," ")</f>
        <v>34</v>
      </c>
      <c r="J16" s="26">
        <f>IF('E-Gilts'!A16&lt;'Adj-Gilts'!$B$10,'E-Gilts'!J16," ")</f>
        <v>362.58629671250662</v>
      </c>
      <c r="K16" s="28">
        <f>IF('E-Gilts'!A16&lt;'Adj-Gilts'!$B$10,'E-Gilts'!N16," ")</f>
        <v>3.7271798774066069</v>
      </c>
      <c r="L16" s="122">
        <f>IF('E-Gilts'!A16&lt;'Adj-Gilts'!$B$10,'E-Gilts'!K16," ")</f>
        <v>0.76505716302652393</v>
      </c>
      <c r="M16">
        <f>IF('E-Gilts'!A16&lt;'Adj-Gilts'!$B$10,'E-Gilts'!M16," ")</f>
        <v>0.4739336016123753</v>
      </c>
      <c r="N16" s="30">
        <f>IF('E-Gilts'!A16&lt;'Adj-Gilts'!$B$10,1/L16," ")</f>
        <v>1.3070918727746501</v>
      </c>
      <c r="O16" s="19"/>
      <c r="P16" s="31">
        <f t="shared" si="1"/>
        <v>0.79936595210476447</v>
      </c>
      <c r="Q16" s="31">
        <f t="shared" si="2"/>
        <v>1.044844739368908</v>
      </c>
      <c r="R16" s="31">
        <f t="shared" si="3"/>
        <v>20.030830982222135</v>
      </c>
    </row>
    <row r="17" spans="1:18" x14ac:dyDescent="0.25">
      <c r="A17" s="28">
        <f>IF('E-Gilts'!A17&lt;'Adj-Gilts'!$B$10,'E-Gilts'!B17," ")</f>
        <v>9.0583244285311668</v>
      </c>
      <c r="B17" s="26">
        <f>IF('E-Gilts'!A17&lt;'Adj-Gilts'!$B$10,'E-Gilts'!A17," ")</f>
        <v>35</v>
      </c>
      <c r="C17" s="26">
        <f>IF('E-Gilts'!A17&lt;'Adj-Gilts'!$B$10,'E-Gilts'!C17," ")</f>
        <v>345.87726332720337</v>
      </c>
      <c r="D17" s="28">
        <f>IF('E-Gilts'!A17&lt;'Adj-Gilts'!$B$10,'E-Gilts'!G17," ")</f>
        <v>3.4085181028091665</v>
      </c>
      <c r="E17" s="27">
        <f>IF('E-Gilts'!A17&lt;'Adj-Gilts'!$B$10,'E-Gilts'!D17," ")</f>
        <v>0.85019939011123702</v>
      </c>
      <c r="F17" s="27"/>
      <c r="G17" s="92">
        <f t="shared" si="0"/>
        <v>35</v>
      </c>
      <c r="H17" s="28">
        <f>IF('E-Gilts'!A17&lt;'Adj-Gilts'!$B$10,'E-Gilts'!I17," ")</f>
        <v>9.467121800484005</v>
      </c>
      <c r="I17" s="126">
        <f>IF('E-Gilts'!A17&lt;'Adj-Gilts'!$B$10,'E-Gilts'!A17," ")</f>
        <v>35</v>
      </c>
      <c r="J17" s="26">
        <f>IF('E-Gilts'!A17&lt;'Adj-Gilts'!$B$10,'E-Gilts'!J17," ")</f>
        <v>381.28970218843705</v>
      </c>
      <c r="K17" s="28">
        <f>IF('E-Gilts'!A17&lt;'Adj-Gilts'!$B$10,'E-Gilts'!N17," ")</f>
        <v>4.2323229736573769</v>
      </c>
      <c r="L17" s="122">
        <f>IF('E-Gilts'!A17&lt;'Adj-Gilts'!$B$10,'E-Gilts'!K17," ")</f>
        <v>0.75481522962188941</v>
      </c>
      <c r="M17">
        <f>IF('E-Gilts'!A17&lt;'Adj-Gilts'!$B$10,'E-Gilts'!M17," ")</f>
        <v>0.50514309625076992</v>
      </c>
      <c r="N17" s="30">
        <f>IF('E-Gilts'!A17&lt;'Adj-Gilts'!$B$10,1/L17," ")</f>
        <v>1.3248275349464416</v>
      </c>
      <c r="O17" s="19"/>
      <c r="P17" s="31">
        <f t="shared" si="1"/>
        <v>0.840599902922611</v>
      </c>
      <c r="Q17" s="31">
        <f t="shared" si="2"/>
        <v>1.1136498972651807</v>
      </c>
      <c r="R17" s="31">
        <f t="shared" si="3"/>
        <v>20.871430885144751</v>
      </c>
    </row>
    <row r="18" spans="1:18" x14ac:dyDescent="0.25">
      <c r="A18" s="28">
        <f>IF('E-Gilts'!A18&lt;'Adj-Gilts'!$B$10,'E-Gilts'!B18," ")</f>
        <v>9.4206024668464945</v>
      </c>
      <c r="B18" s="26">
        <f>IF('E-Gilts'!A18&lt;'Adj-Gilts'!$B$10,'E-Gilts'!A18," ")</f>
        <v>36</v>
      </c>
      <c r="C18" s="26">
        <f>IF('E-Gilts'!A18&lt;'Adj-Gilts'!$B$10,'E-Gilts'!C18," ")</f>
        <v>362.27803831532765</v>
      </c>
      <c r="D18" s="28">
        <f>IF('E-Gilts'!A18&lt;'Adj-Gilts'!$B$10,'E-Gilts'!G18," ")</f>
        <v>3.84047179039707</v>
      </c>
      <c r="E18" s="27">
        <f>IF('E-Gilts'!A18&lt;'Adj-Gilts'!$B$10,'E-Gilts'!D18," ")</f>
        <v>0.83869648234361571</v>
      </c>
      <c r="F18" s="27"/>
      <c r="G18" s="92">
        <f t="shared" si="0"/>
        <v>36</v>
      </c>
      <c r="H18" s="28">
        <f>IF('E-Gilts'!A18&lt;'Adj-Gilts'!$B$10,'E-Gilts'!I18," ")</f>
        <v>9.8664914612991694</v>
      </c>
      <c r="I18" s="126">
        <f>IF('E-Gilts'!A18&lt;'Adj-Gilts'!$B$10,'E-Gilts'!A18," ")</f>
        <v>36</v>
      </c>
      <c r="J18" s="26">
        <f>IF('E-Gilts'!A18&lt;'Adj-Gilts'!$B$10,'E-Gilts'!J18," ")</f>
        <v>399.36966081516425</v>
      </c>
      <c r="K18" s="28">
        <f>IF('E-Gilts'!A18&lt;'Adj-Gilts'!$B$10,'E-Gilts'!N18," ")</f>
        <v>4.7686755645465375</v>
      </c>
      <c r="L18" s="122">
        <f>IF('E-Gilts'!A18&lt;'Adj-Gilts'!$B$10,'E-Gilts'!K18," ")</f>
        <v>0.74460283701266805</v>
      </c>
      <c r="M18">
        <f>IF('E-Gilts'!A18&lt;'Adj-Gilts'!$B$10,'E-Gilts'!M18," ")</f>
        <v>0.5363525908891611</v>
      </c>
      <c r="N18" s="30">
        <f>IF('E-Gilts'!A18&lt;'Adj-Gilts'!$B$10,1/L18," ")</f>
        <v>1.34299783762842</v>
      </c>
      <c r="O18" s="19"/>
      <c r="P18" s="31">
        <f t="shared" si="1"/>
        <v>0.88045938871318363</v>
      </c>
      <c r="Q18" s="31">
        <f t="shared" si="2"/>
        <v>1.1824550551614461</v>
      </c>
      <c r="R18" s="31">
        <f t="shared" si="3"/>
        <v>21.751890273857931</v>
      </c>
    </row>
    <row r="19" spans="1:18" x14ac:dyDescent="0.25">
      <c r="A19" s="28">
        <f>IF('E-Gilts'!A19&lt;'Adj-Gilts'!$B$10,'E-Gilts'!B19," ")</f>
        <v>9.7987157361848443</v>
      </c>
      <c r="B19" s="26">
        <f>IF('E-Gilts'!A19&lt;'Adj-Gilts'!$B$10,'E-Gilts'!A19," ")</f>
        <v>37</v>
      </c>
      <c r="C19" s="26">
        <f>IF('E-Gilts'!A19&lt;'Adj-Gilts'!$B$10,'E-Gilts'!C19," ")</f>
        <v>378.11326933834977</v>
      </c>
      <c r="D19" s="28">
        <f>IF('E-Gilts'!A19&lt;'Adj-Gilts'!$B$10,'E-Gilts'!G19," ")</f>
        <v>4.2975601683468883</v>
      </c>
      <c r="E19" s="27">
        <f>IF('E-Gilts'!A19&lt;'Adj-Gilts'!$B$10,'E-Gilts'!D19," ")</f>
        <v>0.82722135932290353</v>
      </c>
      <c r="F19" s="27"/>
      <c r="G19" s="92">
        <f t="shared" si="0"/>
        <v>37</v>
      </c>
      <c r="H19" s="28">
        <f>IF('E-Gilts'!A19&lt;'Adj-Gilts'!$B$10,'E-Gilts'!I19," ")</f>
        <v>10.283317633891869</v>
      </c>
      <c r="I19" s="126">
        <f>IF('E-Gilts'!A19&lt;'Adj-Gilts'!$B$10,'E-Gilts'!A19," ")</f>
        <v>37</v>
      </c>
      <c r="J19" s="26">
        <f>IF('E-Gilts'!A19&lt;'Adj-Gilts'!$B$10,'E-Gilts'!J19," ")</f>
        <v>416.82617259270012</v>
      </c>
      <c r="K19" s="28">
        <f>IF('E-Gilts'!A19&lt;'Adj-Gilts'!$B$10,'E-Gilts'!N19," ")</f>
        <v>5.3362376500740947</v>
      </c>
      <c r="L19" s="122">
        <f>IF('E-Gilts'!A19&lt;'Adj-Gilts'!$B$10,'E-Gilts'!K19," ")</f>
        <v>0.73441511197009302</v>
      </c>
      <c r="M19">
        <f>IF('E-Gilts'!A19&lt;'Adj-Gilts'!$B$10,'E-Gilts'!M19," ")</f>
        <v>0.56756208552755671</v>
      </c>
      <c r="N19" s="30">
        <f>IF('E-Gilts'!A19&lt;'Adj-Gilts'!$B$10,1/L19," ")</f>
        <v>1.3616277547958766</v>
      </c>
      <c r="O19" s="19"/>
      <c r="P19" s="31">
        <f t="shared" si="1"/>
        <v>0.91894440947650879</v>
      </c>
      <c r="Q19" s="31">
        <f t="shared" si="2"/>
        <v>1.2512602130577211</v>
      </c>
      <c r="R19" s="31">
        <f t="shared" si="3"/>
        <v>22.670834683334441</v>
      </c>
    </row>
    <row r="20" spans="1:18" x14ac:dyDescent="0.25">
      <c r="A20" s="28">
        <f>IF('E-Gilts'!A20&lt;'Adj-Gilts'!$B$10,'E-Gilts'!B20," ")</f>
        <v>10.192098692581105</v>
      </c>
      <c r="B20" s="26">
        <f>IF('E-Gilts'!A20&lt;'Adj-Gilts'!$B$10,'E-Gilts'!A20," ")</f>
        <v>38</v>
      </c>
      <c r="C20" s="26">
        <f>IF('E-Gilts'!A20&lt;'Adj-Gilts'!$B$10,'E-Gilts'!C20," ")</f>
        <v>393.38295639626074</v>
      </c>
      <c r="D20" s="28">
        <f>IF('E-Gilts'!A20&lt;'Adj-Gilts'!$B$10,'E-Gilts'!G20," ")</f>
        <v>4.7797832366586164</v>
      </c>
      <c r="E20" s="27">
        <f>IF('E-Gilts'!A20&lt;'Adj-Gilts'!$B$10,'E-Gilts'!D20," ")</f>
        <v>0.81576967641448939</v>
      </c>
      <c r="F20" s="27"/>
      <c r="G20" s="92">
        <f t="shared" si="0"/>
        <v>38</v>
      </c>
      <c r="H20" s="28">
        <f>IF('E-Gilts'!A20&lt;'Adj-Gilts'!$B$10,'E-Gilts'!I20," ")</f>
        <v>10.716976871412903</v>
      </c>
      <c r="I20" s="126">
        <f>IF('E-Gilts'!A20&lt;'Adj-Gilts'!$B$10,'E-Gilts'!A20," ")</f>
        <v>38</v>
      </c>
      <c r="J20" s="26">
        <f>IF('E-Gilts'!A20&lt;'Adj-Gilts'!$B$10,'E-Gilts'!J20," ")</f>
        <v>433.65923752103475</v>
      </c>
      <c r="K20" s="28">
        <f>IF('E-Gilts'!A20&lt;'Adj-Gilts'!$B$10,'E-Gilts'!N20," ")</f>
        <v>5.9350092302400412</v>
      </c>
      <c r="L20" s="122">
        <f>IF('E-Gilts'!A20&lt;'Adj-Gilts'!$B$10,'E-Gilts'!K20," ")</f>
        <v>0.72424819728559675</v>
      </c>
      <c r="M20">
        <f>IF('E-Gilts'!A20&lt;'Adj-Gilts'!$B$10,'E-Gilts'!M20," ")</f>
        <v>0.59877158016594623</v>
      </c>
      <c r="N20" s="30">
        <f>IF('E-Gilts'!A20&lt;'Adj-Gilts'!$B$10,1/L20," ")</f>
        <v>1.3807421319761526</v>
      </c>
      <c r="O20" s="19"/>
      <c r="P20" s="31">
        <f t="shared" si="1"/>
        <v>0.95605496521256461</v>
      </c>
      <c r="Q20" s="31">
        <f t="shared" si="2"/>
        <v>1.3200653709539829</v>
      </c>
      <c r="R20" s="31">
        <f t="shared" si="3"/>
        <v>23.626889648547007</v>
      </c>
    </row>
    <row r="21" spans="1:18" x14ac:dyDescent="0.25">
      <c r="A21" s="28">
        <f>IF('E-Gilts'!A21&lt;'Adj-Gilts'!$B$10,'E-Gilts'!B21," ")</f>
        <v>10.600185792070169</v>
      </c>
      <c r="B21" s="26">
        <f>IF('E-Gilts'!A21&lt;'Adj-Gilts'!$B$10,'E-Gilts'!A21," ")</f>
        <v>39</v>
      </c>
      <c r="C21" s="26">
        <f>IF('E-Gilts'!A21&lt;'Adj-Gilts'!$B$10,'E-Gilts'!C21," ")</f>
        <v>408.0870994890642</v>
      </c>
      <c r="D21" s="28">
        <f>IF('E-Gilts'!A21&lt;'Adj-Gilts'!$B$10,'E-Gilts'!G21," ")</f>
        <v>5.2871409953322583</v>
      </c>
      <c r="E21" s="27">
        <f>IF('E-Gilts'!A21&lt;'Adj-Gilts'!$B$10,'E-Gilts'!D21," ")</f>
        <v>0.80433794992295837</v>
      </c>
      <c r="F21" s="27"/>
      <c r="G21" s="92">
        <f t="shared" si="0"/>
        <v>39</v>
      </c>
      <c r="H21" s="28">
        <f>IF('E-Gilts'!A21&lt;'Adj-Gilts'!$B$10,'E-Gilts'!I21," ")</f>
        <v>11.166845727013076</v>
      </c>
      <c r="I21" s="126">
        <f>IF('E-Gilts'!A21&lt;'Adj-Gilts'!$B$10,'E-Gilts'!A21," ")</f>
        <v>39</v>
      </c>
      <c r="J21" s="26">
        <f>IF('E-Gilts'!A21&lt;'Adj-Gilts'!$B$10,'E-Gilts'!J21," ")</f>
        <v>449.86885560017214</v>
      </c>
      <c r="K21" s="28">
        <f>IF('E-Gilts'!A21&lt;'Adj-Gilts'!$B$10,'E-Gilts'!N21," ")</f>
        <v>6.5649903050443816</v>
      </c>
      <c r="L21" s="122">
        <f>IF('E-Gilts'!A21&lt;'Adj-Gilts'!$B$10,'E-Gilts'!K21," ")</f>
        <v>0.71409900010074512</v>
      </c>
      <c r="M21">
        <f>IF('E-Gilts'!A21&lt;'Adj-Gilts'!$B$10,'E-Gilts'!M21," ")</f>
        <v>0.62998107480434029</v>
      </c>
      <c r="N21" s="30">
        <f>IF('E-Gilts'!A21&lt;'Adj-Gilts'!$B$10,1/L21," ")</f>
        <v>1.4003660554893929</v>
      </c>
      <c r="O21" s="19"/>
      <c r="P21" s="31">
        <f t="shared" si="1"/>
        <v>0.99179105592135974</v>
      </c>
      <c r="Q21" s="31">
        <f t="shared" si="2"/>
        <v>1.3888705288502543</v>
      </c>
      <c r="R21" s="31">
        <f t="shared" si="3"/>
        <v>24.618680704468368</v>
      </c>
    </row>
    <row r="22" spans="1:18" x14ac:dyDescent="0.25">
      <c r="A22" s="28">
        <f>IF('E-Gilts'!A22&lt;'Adj-Gilts'!$B$10,'E-Gilts'!B22," ")</f>
        <v>11.022411490686929</v>
      </c>
      <c r="B22" s="26">
        <f>IF('E-Gilts'!A22&lt;'Adj-Gilts'!$B$10,'E-Gilts'!A22," ")</f>
        <v>40</v>
      </c>
      <c r="C22" s="26">
        <f>IF('E-Gilts'!A22&lt;'Adj-Gilts'!$B$10,'E-Gilts'!C22," ")</f>
        <v>422.22569861676004</v>
      </c>
      <c r="D22" s="28">
        <f>IF('E-Gilts'!A22&lt;'Adj-Gilts'!$B$10,'E-Gilts'!G22," ")</f>
        <v>5.819633444367815</v>
      </c>
      <c r="E22" s="27">
        <f>IF('E-Gilts'!A22&lt;'Adj-Gilts'!$B$10,'E-Gilts'!D22," ")</f>
        <v>0.79292335390199331</v>
      </c>
      <c r="F22" s="27"/>
      <c r="G22" s="92">
        <f t="shared" si="0"/>
        <v>40</v>
      </c>
      <c r="H22" s="28">
        <f>IF('E-Gilts'!A22&lt;'Adj-Gilts'!$B$10,'E-Gilts'!I22," ")</f>
        <v>11.632300753843188</v>
      </c>
      <c r="I22" s="126">
        <f>IF('E-Gilts'!A22&lt;'Adj-Gilts'!$B$10,'E-Gilts'!A22," ")</f>
        <v>40</v>
      </c>
      <c r="J22" s="26">
        <f>IF('E-Gilts'!A22&lt;'Adj-Gilts'!$B$10,'E-Gilts'!J22," ")</f>
        <v>465.45502683011216</v>
      </c>
      <c r="K22" s="28">
        <f>IF('E-Gilts'!A22&lt;'Adj-Gilts'!$B$10,'E-Gilts'!N22," ")</f>
        <v>7.2261808744871177</v>
      </c>
      <c r="L22" s="122">
        <f>IF('E-Gilts'!A22&lt;'Adj-Gilts'!$B$10,'E-Gilts'!K22," ")</f>
        <v>0.70396501151310498</v>
      </c>
      <c r="M22">
        <f>IF('E-Gilts'!A22&lt;'Adj-Gilts'!$B$10,'E-Gilts'!M22," ")</f>
        <v>0.66119056944273613</v>
      </c>
      <c r="N22" s="30">
        <f>IF('E-Gilts'!A22&lt;'Adj-Gilts'!$B$10,1/L22," ")</f>
        <v>1.4205251449224676</v>
      </c>
      <c r="O22" s="19"/>
      <c r="P22" s="31">
        <f t="shared" si="1"/>
        <v>1.0261526816028941</v>
      </c>
      <c r="Q22" s="31">
        <f t="shared" si="2"/>
        <v>1.4576756867465299</v>
      </c>
      <c r="R22" s="31">
        <f t="shared" si="3"/>
        <v>25.644833386071262</v>
      </c>
    </row>
    <row r="23" spans="1:18" x14ac:dyDescent="0.25">
      <c r="A23" s="28">
        <f>IF('E-Gilts'!A23&lt;'Adj-Gilts'!$B$10,'E-Gilts'!B23," ")</f>
        <v>11.458210244466278</v>
      </c>
      <c r="B23" s="26">
        <f>IF('E-Gilts'!A23&lt;'Adj-Gilts'!$B$10,'E-Gilts'!A23," ")</f>
        <v>41</v>
      </c>
      <c r="C23" s="26">
        <f>IF('E-Gilts'!A23&lt;'Adj-Gilts'!$B$10,'E-Gilts'!C23," ")</f>
        <v>435.79875377934843</v>
      </c>
      <c r="D23" s="28">
        <f>IF('E-Gilts'!A23&lt;'Adj-Gilts'!$B$10,'E-Gilts'!G23," ")</f>
        <v>6.372233645692897</v>
      </c>
      <c r="E23" s="27">
        <f>IF('E-Gilts'!A23&lt;'Adj-Gilts'!$B$10,'E-Gilts'!D23," ")</f>
        <v>0.78863299856631419</v>
      </c>
      <c r="F23" s="27"/>
      <c r="G23" s="92">
        <f t="shared" si="0"/>
        <v>41</v>
      </c>
      <c r="H23" s="28">
        <f>IF('E-Gilts'!A23&lt;'Adj-Gilts'!$B$10,'E-Gilts'!I23," ")</f>
        <v>12.112718505054042</v>
      </c>
      <c r="I23" s="126">
        <f>IF('E-Gilts'!A23&lt;'Adj-Gilts'!$B$10,'E-Gilts'!A23," ")</f>
        <v>41</v>
      </c>
      <c r="J23" s="26">
        <f>IF('E-Gilts'!A23&lt;'Adj-Gilts'!$B$10,'E-Gilts'!J23," ")</f>
        <v>480.41775121085499</v>
      </c>
      <c r="K23" s="28">
        <f>IF('E-Gilts'!A23&lt;'Adj-Gilts'!$B$10,'E-Gilts'!N23," ")</f>
        <v>7.9123390396405622</v>
      </c>
      <c r="L23" s="122">
        <f>IF('E-Gilts'!A23&lt;'Adj-Gilts'!$B$10,'E-Gilts'!K23," ")</f>
        <v>0.70015599261056682</v>
      </c>
      <c r="M23">
        <f>IF('E-Gilts'!A23&lt;'Adj-Gilts'!$B$10,'E-Gilts'!M23," ")</f>
        <v>0.6861581651534443</v>
      </c>
      <c r="N23" s="30">
        <f>IF('E-Gilts'!A23&lt;'Adj-Gilts'!$B$10,1/L23," ")</f>
        <v>1.4282531472328754</v>
      </c>
      <c r="O23" s="19"/>
      <c r="P23" s="31">
        <f t="shared" si="1"/>
        <v>1.0591398422571681</v>
      </c>
      <c r="Q23" s="31">
        <f t="shared" si="2"/>
        <v>1.5127198130635318</v>
      </c>
      <c r="R23" s="31">
        <f t="shared" si="3"/>
        <v>26.703973228328426</v>
      </c>
    </row>
    <row r="24" spans="1:18" x14ac:dyDescent="0.25">
      <c r="A24" s="28">
        <f>IF('E-Gilts'!A24&lt;'Adj-Gilts'!$B$10,'E-Gilts'!B24," ")</f>
        <v>11.907016509443107</v>
      </c>
      <c r="B24" s="26">
        <f>IF('E-Gilts'!A24&lt;'Adj-Gilts'!$B$10,'E-Gilts'!A24," ")</f>
        <v>42</v>
      </c>
      <c r="C24" s="26">
        <f>IF('E-Gilts'!A24&lt;'Adj-Gilts'!$B$10,'E-Gilts'!C24," ")</f>
        <v>448.8062649768292</v>
      </c>
      <c r="D24" s="28">
        <f>IF('E-Gilts'!A24&lt;'Adj-Gilts'!$B$10,'E-Gilts'!G24," ")</f>
        <v>6.9449415993075121</v>
      </c>
      <c r="E24" s="27">
        <f>IF('E-Gilts'!A24&lt;'Adj-Gilts'!$B$10,'E-Gilts'!D24," ")</f>
        <v>0.78365642059659302</v>
      </c>
      <c r="F24" s="27"/>
      <c r="G24" s="92">
        <f t="shared" si="0"/>
        <v>42</v>
      </c>
      <c r="H24" s="28">
        <f>IF('E-Gilts'!A24&lt;'Adj-Gilts'!$B$10,'E-Gilts'!I24," ")</f>
        <v>12.607475533796443</v>
      </c>
      <c r="I24" s="126">
        <f>IF('E-Gilts'!A24&lt;'Adj-Gilts'!$B$10,'E-Gilts'!A24," ")</f>
        <v>42</v>
      </c>
      <c r="J24" s="26">
        <f>IF('E-Gilts'!A24&lt;'Adj-Gilts'!$B$10,'E-Gilts'!J24," ")</f>
        <v>494.75702874240045</v>
      </c>
      <c r="K24" s="28">
        <f>IF('E-Gilts'!A24&lt;'Adj-Gilts'!$B$10,'E-Gilts'!N24," ")</f>
        <v>8.6234648005047241</v>
      </c>
      <c r="L24" s="122">
        <f>IF('E-Gilts'!A24&lt;'Adj-Gilts'!$B$10,'E-Gilts'!K24," ")</f>
        <v>0.69573773862610455</v>
      </c>
      <c r="M24">
        <f>IF('E-Gilts'!A24&lt;'Adj-Gilts'!$B$10,'E-Gilts'!M24," ")</f>
        <v>0.71112576086416257</v>
      </c>
      <c r="N24" s="30">
        <f>IF('E-Gilts'!A24&lt;'Adj-Gilts'!$B$10,1/L24," ")</f>
        <v>1.4373232102871576</v>
      </c>
      <c r="O24" s="19"/>
      <c r="P24" s="31">
        <f t="shared" si="1"/>
        <v>1.0907525378841809</v>
      </c>
      <c r="Q24" s="31">
        <f t="shared" si="2"/>
        <v>1.5677639393805556</v>
      </c>
      <c r="R24" s="31">
        <f t="shared" si="3"/>
        <v>27.794725766212608</v>
      </c>
    </row>
    <row r="25" spans="1:18" x14ac:dyDescent="0.25">
      <c r="A25" s="28">
        <f>IF('E-Gilts'!A25&lt;'Adj-Gilts'!$B$10,'E-Gilts'!B25," ")</f>
        <v>12.365872299502644</v>
      </c>
      <c r="B25" s="26">
        <f>IF('E-Gilts'!A25&lt;'Adj-Gilts'!$B$10,'E-Gilts'!A25," ")</f>
        <v>43</v>
      </c>
      <c r="C25" s="26">
        <f>IF('E-Gilts'!A25&lt;'Adj-Gilts'!$B$10,'E-Gilts'!C25," ")</f>
        <v>458.85579005953758</v>
      </c>
      <c r="D25" s="28">
        <f>IF('E-Gilts'!A25&lt;'Adj-Gilts'!$B$10,'E-Gilts'!G25," ")</f>
        <v>7.5377573052116578</v>
      </c>
      <c r="E25" s="27">
        <f>IF('E-Gilts'!A25&lt;'Adj-Gilts'!$B$10,'E-Gilts'!D25," ")</f>
        <v>0.77402772141420173</v>
      </c>
      <c r="F25" s="27"/>
      <c r="G25" s="92">
        <f t="shared" si="0"/>
        <v>43</v>
      </c>
      <c r="H25" s="28">
        <f>IF('E-Gilts'!A25&lt;'Adj-Gilts'!$B$10,'E-Gilts'!I25," ")</f>
        <v>13.113311002298257</v>
      </c>
      <c r="I25" s="126">
        <f>IF('E-Gilts'!A25&lt;'Adj-Gilts'!$B$10,'E-Gilts'!A25," ")</f>
        <v>43</v>
      </c>
      <c r="J25" s="26">
        <f>IF('E-Gilts'!A25&lt;'Adj-Gilts'!$B$10,'E-Gilts'!J25," ")</f>
        <v>505.83546850181364</v>
      </c>
      <c r="K25" s="28">
        <f>IF('E-Gilts'!A25&lt;'Adj-Gilts'!$B$10,'E-Gilts'!N25," ")</f>
        <v>9.3595581570796007</v>
      </c>
      <c r="L25" s="122">
        <f>IF('E-Gilts'!A25&lt;'Adj-Gilts'!$B$10,'E-Gilts'!K25," ")</f>
        <v>0.68718928649963829</v>
      </c>
      <c r="M25">
        <f>IF('E-Gilts'!A25&lt;'Adj-Gilts'!$B$10,'E-Gilts'!M25," ")</f>
        <v>0.73609335657487707</v>
      </c>
      <c r="N25" s="30">
        <f>IF('E-Gilts'!A25&lt;'Adj-Gilts'!$B$10,1/L25," ")</f>
        <v>1.4552031291025174</v>
      </c>
      <c r="O25" s="19"/>
      <c r="P25" s="31">
        <f t="shared" si="1"/>
        <v>1.1151763167925721</v>
      </c>
      <c r="Q25" s="31">
        <f t="shared" si="2"/>
        <v>1.6228080656975712</v>
      </c>
      <c r="R25" s="31">
        <f t="shared" si="3"/>
        <v>28.909902083005182</v>
      </c>
    </row>
    <row r="26" spans="1:18" x14ac:dyDescent="0.25">
      <c r="A26" s="28">
        <f>IF('E-Gilts'!A26&lt;'Adj-Gilts'!$B$10,'E-Gilts'!B26," ")</f>
        <v>12.835002640368169</v>
      </c>
      <c r="B26" s="26">
        <f>IF('E-Gilts'!A26&lt;'Adj-Gilts'!$B$10,'E-Gilts'!A26," ")</f>
        <v>44</v>
      </c>
      <c r="C26" s="26">
        <f>IF('E-Gilts'!A26&lt;'Adj-Gilts'!$B$10,'E-Gilts'!C26," ")</f>
        <v>469.13034086552409</v>
      </c>
      <c r="D26" s="28">
        <f>IF('E-Gilts'!A26&lt;'Adj-Gilts'!$B$10,'E-Gilts'!G26," ")</f>
        <v>8.1506807634053331</v>
      </c>
      <c r="E26" s="27">
        <f>IF('E-Gilts'!A26&lt;'Adj-Gilts'!$B$10,'E-Gilts'!D26," ")</f>
        <v>0.76539792137844076</v>
      </c>
      <c r="F26" s="27"/>
      <c r="G26" s="92">
        <f t="shared" si="0"/>
        <v>44</v>
      </c>
      <c r="H26" s="28">
        <f>IF('E-Gilts'!A26&lt;'Adj-Gilts'!$B$10,'E-Gilts'!I26," ")</f>
        <v>13.630472975408233</v>
      </c>
      <c r="I26" s="126">
        <f>IF('E-Gilts'!A26&lt;'Adj-Gilts'!$B$10,'E-Gilts'!A26," ")</f>
        <v>44</v>
      </c>
      <c r="J26" s="26">
        <f>IF('E-Gilts'!A26&lt;'Adj-Gilts'!$B$10,'E-Gilts'!J26," ")</f>
        <v>517.16197310997711</v>
      </c>
      <c r="K26" s="28">
        <f>IF('E-Gilts'!A26&lt;'Adj-Gilts'!$B$10,'E-Gilts'!N26," ")</f>
        <v>10.12061910936519</v>
      </c>
      <c r="L26" s="122">
        <f>IF('E-Gilts'!A26&lt;'Adj-Gilts'!$B$10,'E-Gilts'!K26," ")</f>
        <v>0.67952766668274844</v>
      </c>
      <c r="M26">
        <f>IF('E-Gilts'!A26&lt;'Adj-Gilts'!$B$10,'E-Gilts'!M26," ")</f>
        <v>0.76106095228558945</v>
      </c>
      <c r="N26" s="30">
        <f>IF('E-Gilts'!A26&lt;'Adj-Gilts'!$B$10,1/L26," ")</f>
        <v>1.4716104274042321</v>
      </c>
      <c r="O26" s="19"/>
      <c r="P26" s="31">
        <f t="shared" si="1"/>
        <v>1.1401469850782038</v>
      </c>
      <c r="Q26" s="31">
        <f t="shared" si="2"/>
        <v>1.6778521920145824</v>
      </c>
      <c r="R26" s="31">
        <f t="shared" si="3"/>
        <v>30.050049068083382</v>
      </c>
    </row>
    <row r="27" spans="1:18" x14ac:dyDescent="0.25">
      <c r="A27" s="28">
        <f>IF('E-Gilts'!A27&lt;'Adj-Gilts'!$B$10,'E-Gilts'!B27," ")</f>
        <v>13.314637596466351</v>
      </c>
      <c r="B27" s="26">
        <f>IF('E-Gilts'!A27&lt;'Adj-Gilts'!$B$10,'E-Gilts'!A27," ")</f>
        <v>45</v>
      </c>
      <c r="C27" s="26">
        <f>IF('E-Gilts'!A27&lt;'Adj-Gilts'!$B$10,'E-Gilts'!C27," ")</f>
        <v>479.63495609818273</v>
      </c>
      <c r="D27" s="28">
        <f>IF('E-Gilts'!A27&lt;'Adj-Gilts'!$B$10,'E-Gilts'!G27," ")</f>
        <v>8.7837119738885381</v>
      </c>
      <c r="E27" s="27">
        <f>IF('E-Gilts'!A27&lt;'Adj-Gilts'!$B$10,'E-Gilts'!D27," ")</f>
        <v>0.75767979233135696</v>
      </c>
      <c r="F27" s="27"/>
      <c r="G27" s="92">
        <f t="shared" si="0"/>
        <v>45</v>
      </c>
      <c r="H27" s="28">
        <f>IF('E-Gilts'!A27&lt;'Adj-Gilts'!$B$10,'E-Gilts'!I27," ")</f>
        <v>14.159215072563184</v>
      </c>
      <c r="I27" s="126">
        <f>IF('E-Gilts'!A27&lt;'Adj-Gilts'!$B$10,'E-Gilts'!A27," ")</f>
        <v>45</v>
      </c>
      <c r="J27" s="26">
        <f>IF('E-Gilts'!A27&lt;'Adj-Gilts'!$B$10,'E-Gilts'!J27," ")</f>
        <v>528.74209715494931</v>
      </c>
      <c r="K27" s="28">
        <f>IF('E-Gilts'!A27&lt;'Adj-Gilts'!$B$10,'E-Gilts'!N27," ")</f>
        <v>10.906647657361495</v>
      </c>
      <c r="L27" s="122">
        <f>IF('E-Gilts'!A27&lt;'Adj-Gilts'!$B$10,'E-Gilts'!K27," ")</f>
        <v>0.67267543717436951</v>
      </c>
      <c r="M27">
        <f>IF('E-Gilts'!A27&lt;'Adj-Gilts'!$B$10,'E-Gilts'!M27," ")</f>
        <v>0.78602854799630495</v>
      </c>
      <c r="N27" s="30">
        <f>IF('E-Gilts'!A27&lt;'Adj-Gilts'!$B$10,1/L27," ")</f>
        <v>1.4866010333312976</v>
      </c>
      <c r="O27" s="19"/>
      <c r="P27" s="31">
        <f t="shared" si="1"/>
        <v>1.1656767885115644</v>
      </c>
      <c r="Q27" s="31">
        <f t="shared" si="2"/>
        <v>1.7328963183316</v>
      </c>
      <c r="R27" s="31">
        <f t="shared" si="3"/>
        <v>31.215725856594947</v>
      </c>
    </row>
    <row r="28" spans="1:18" x14ac:dyDescent="0.25">
      <c r="A28" s="28">
        <f>IF('E-Gilts'!A28&lt;'Adj-Gilts'!$B$10,'E-Gilts'!B28," ")</f>
        <v>13.805012383752274</v>
      </c>
      <c r="B28" s="26">
        <f>IF('E-Gilts'!A28&lt;'Adj-Gilts'!$B$10,'E-Gilts'!A28," ")</f>
        <v>46</v>
      </c>
      <c r="C28" s="26">
        <f>IF('E-Gilts'!A28&lt;'Adj-Gilts'!$B$10,'E-Gilts'!C28," ")</f>
        <v>490.37478728592276</v>
      </c>
      <c r="D28" s="28">
        <f>IF('E-Gilts'!A28&lt;'Adj-Gilts'!$B$10,'E-Gilts'!G28," ")</f>
        <v>9.4368509366612709</v>
      </c>
      <c r="E28" s="27">
        <f>IF('E-Gilts'!A28&lt;'Adj-Gilts'!$B$10,'E-Gilts'!D28," ")</f>
        <v>0.75079702059752063</v>
      </c>
      <c r="F28" s="27"/>
      <c r="G28" s="92">
        <f t="shared" si="0"/>
        <v>46</v>
      </c>
      <c r="H28" s="28">
        <f>IF('E-Gilts'!A28&lt;'Adj-Gilts'!$B$10,'E-Gilts'!I28," ")</f>
        <v>14.69979659216451</v>
      </c>
      <c r="I28" s="126">
        <f>IF('E-Gilts'!A28&lt;'Adj-Gilts'!$B$10,'E-Gilts'!A28," ")</f>
        <v>46</v>
      </c>
      <c r="J28" s="26">
        <f>IF('E-Gilts'!A28&lt;'Adj-Gilts'!$B$10,'E-Gilts'!J28," ")</f>
        <v>540.58151960132625</v>
      </c>
      <c r="K28" s="28">
        <f>IF('E-Gilts'!A28&lt;'Adj-Gilts'!$B$10,'E-Gilts'!N28," ")</f>
        <v>11.71764380106851</v>
      </c>
      <c r="L28" s="122">
        <f>IF('E-Gilts'!A28&lt;'Adj-Gilts'!$B$10,'E-Gilts'!K28," ")</f>
        <v>0.66656484595643062</v>
      </c>
      <c r="M28">
        <f>IF('E-Gilts'!A28&lt;'Adj-Gilts'!$B$10,'E-Gilts'!M28," ")</f>
        <v>0.81099614370701578</v>
      </c>
      <c r="N28" s="30">
        <f>IF('E-Gilts'!A28&lt;'Adj-Gilts'!$B$10,1/L28," ")</f>
        <v>1.5002291315935434</v>
      </c>
      <c r="O28" s="19"/>
      <c r="P28" s="31">
        <f t="shared" si="1"/>
        <v>1.1917782470664713</v>
      </c>
      <c r="Q28" s="31">
        <f t="shared" si="2"/>
        <v>1.7879404446486076</v>
      </c>
      <c r="R28" s="31">
        <f t="shared" si="3"/>
        <v>32.407504103661424</v>
      </c>
    </row>
    <row r="29" spans="1:18" x14ac:dyDescent="0.25">
      <c r="A29" s="28">
        <f>IF('E-Gilts'!A29&lt;'Adj-Gilts'!$B$10,'E-Gilts'!B29," ")</f>
        <v>14.306367485060804</v>
      </c>
      <c r="B29" s="26">
        <f>IF('E-Gilts'!A29&lt;'Adj-Gilts'!$B$10,'E-Gilts'!A29," ")</f>
        <v>47</v>
      </c>
      <c r="C29" s="26">
        <f>IF('E-Gilts'!A29&lt;'Adj-Gilts'!$B$10,'E-Gilts'!C29," ")</f>
        <v>501.35510130852981</v>
      </c>
      <c r="D29" s="28">
        <f>IF('E-Gilts'!A29&lt;'Adj-Gilts'!$B$10,'E-Gilts'!G29," ")</f>
        <v>10.113113814566965</v>
      </c>
      <c r="E29" s="27">
        <f>IF('E-Gilts'!A29&lt;'Adj-Gilts'!$B$10,'E-Gilts'!D29," ")</f>
        <v>0.74136126303600558</v>
      </c>
      <c r="F29" s="27"/>
      <c r="G29" s="92">
        <f t="shared" si="0"/>
        <v>47</v>
      </c>
      <c r="H29" s="28">
        <f>IF('E-Gilts'!A29&lt;'Adj-Gilts'!$B$10,'E-Gilts'!I29," ")</f>
        <v>15.252482638739773</v>
      </c>
      <c r="I29" s="126">
        <f>IF('E-Gilts'!A29&lt;'Adj-Gilts'!$B$10,'E-Gilts'!A29," ")</f>
        <v>47</v>
      </c>
      <c r="J29" s="26">
        <f>IF('E-Gilts'!A29&lt;'Adj-Gilts'!$B$10,'E-Gilts'!J29," ")</f>
        <v>552.68604657526237</v>
      </c>
      <c r="K29" s="28">
        <f>IF('E-Gilts'!A29&lt;'Adj-Gilts'!$B$10,'E-Gilts'!N29," ")</f>
        <v>12.55735267984285</v>
      </c>
      <c r="L29" s="122">
        <f>IF('E-Gilts'!A29&lt;'Adj-Gilts'!$B$10,'E-Gilts'!K29," ")</f>
        <v>0.65818768926437565</v>
      </c>
      <c r="M29">
        <f>IF('E-Gilts'!A29&lt;'Adj-Gilts'!$B$10,'E-Gilts'!M29," ")</f>
        <v>0.83970887877433964</v>
      </c>
      <c r="N29" s="30">
        <f>IF('E-Gilts'!A29&lt;'Adj-Gilts'!$B$10,1/L29," ")</f>
        <v>1.5193234639767439</v>
      </c>
      <c r="O29" s="19"/>
      <c r="P29" s="31">
        <f t="shared" si="1"/>
        <v>1.2184641610599896</v>
      </c>
      <c r="Q29" s="31">
        <f t="shared" si="2"/>
        <v>1.8512411899131804</v>
      </c>
      <c r="R29" s="31">
        <f t="shared" si="3"/>
        <v>33.625968264721408</v>
      </c>
    </row>
    <row r="30" spans="1:18" x14ac:dyDescent="0.25">
      <c r="A30" s="28">
        <f>IF('E-Gilts'!A30&lt;'Adj-Gilts'!$B$10,'E-Gilts'!B30," ")</f>
        <v>14.818948768040848</v>
      </c>
      <c r="B30" s="26">
        <f>IF('E-Gilts'!A30&lt;'Adj-Gilts'!$B$10,'E-Gilts'!A30," ")</f>
        <v>48</v>
      </c>
      <c r="C30" s="26">
        <f>IF('E-Gilts'!A30&lt;'Adj-Gilts'!$B$10,'E-Gilts'!C30," ")</f>
        <v>512.58128298004385</v>
      </c>
      <c r="D30" s="28">
        <f>IF('E-Gilts'!A30&lt;'Adj-Gilts'!$B$10,'E-Gilts'!G30," ")</f>
        <v>10.812500607605621</v>
      </c>
      <c r="E30" s="27">
        <f>IF('E-Gilts'!A30&lt;'Adj-Gilts'!$B$10,'E-Gilts'!D30," ")</f>
        <v>0.73290100425404048</v>
      </c>
      <c r="F30" s="27"/>
      <c r="G30" s="92">
        <f t="shared" si="0"/>
        <v>48</v>
      </c>
      <c r="H30" s="28">
        <f>IF('E-Gilts'!A30&lt;'Adj-Gilts'!$B$10,'E-Gilts'!I30," ")</f>
        <v>15.817544252951569</v>
      </c>
      <c r="I30" s="126">
        <f>IF('E-Gilts'!A30&lt;'Adj-Gilts'!$B$10,'E-Gilts'!A30," ")</f>
        <v>48</v>
      </c>
      <c r="J30" s="26">
        <f>IF('E-Gilts'!A30&lt;'Adj-Gilts'!$B$10,'E-Gilts'!J30," ")</f>
        <v>565.06161421179581</v>
      </c>
      <c r="K30" s="28">
        <f>IF('E-Gilts'!A30&lt;'Adj-Gilts'!$B$10,'E-Gilts'!N30," ")</f>
        <v>13.425774293684514</v>
      </c>
      <c r="L30" s="122">
        <f>IF('E-Gilts'!A30&lt;'Adj-Gilts'!$B$10,'E-Gilts'!K30," ")</f>
        <v>0.65067658981000631</v>
      </c>
      <c r="M30">
        <f>IF('E-Gilts'!A30&lt;'Adj-Gilts'!$B$10,'E-Gilts'!M30," ")</f>
        <v>0.8684216138416635</v>
      </c>
      <c r="N30" s="30">
        <f>IF('E-Gilts'!A30&lt;'Adj-Gilts'!$B$10,1/L30," ")</f>
        <v>1.5368618076331808</v>
      </c>
      <c r="O30" s="19"/>
      <c r="P30" s="31">
        <f t="shared" si="1"/>
        <v>1.2457476174297106</v>
      </c>
      <c r="Q30" s="31">
        <f t="shared" si="2"/>
        <v>1.9145419351777533</v>
      </c>
      <c r="R30" s="31">
        <f t="shared" si="3"/>
        <v>34.871715882151122</v>
      </c>
    </row>
    <row r="31" spans="1:18" x14ac:dyDescent="0.25">
      <c r="A31" s="28">
        <f>IF('E-Gilts'!A31&lt;'Adj-Gilts'!$B$10,'E-Gilts'!B31," ")</f>
        <v>15.343007605730385</v>
      </c>
      <c r="B31" s="26">
        <f>IF('E-Gilts'!A31&lt;'Adj-Gilts'!$B$10,'E-Gilts'!A31," ")</f>
        <v>49</v>
      </c>
      <c r="C31" s="26">
        <f>IF('E-Gilts'!A31&lt;'Adj-Gilts'!$B$10,'E-Gilts'!C31," ")</f>
        <v>524.05883768953743</v>
      </c>
      <c r="D31" s="28">
        <f>IF('E-Gilts'!A31&lt;'Adj-Gilts'!$B$10,'E-Gilts'!G31," ")</f>
        <v>11.535011315777234</v>
      </c>
      <c r="E31" s="27">
        <f>IF('E-Gilts'!A31&lt;'Adj-Gilts'!$B$10,'E-Gilts'!D31," ")</f>
        <v>0.72533020170139884</v>
      </c>
      <c r="F31" s="27"/>
      <c r="G31" s="92">
        <f t="shared" si="0"/>
        <v>49</v>
      </c>
      <c r="H31" s="28">
        <f>IF('E-Gilts'!A31&lt;'Adj-Gilts'!$B$10,'E-Gilts'!I31," ")</f>
        <v>16.395258544517571</v>
      </c>
      <c r="I31" s="126">
        <f>IF('E-Gilts'!A31&lt;'Adj-Gilts'!$B$10,'E-Gilts'!A31," ")</f>
        <v>49</v>
      </c>
      <c r="J31" s="26">
        <f>IF('E-Gilts'!A31&lt;'Adj-Gilts'!$B$10,'E-Gilts'!J31," ")</f>
        <v>577.71429156600016</v>
      </c>
      <c r="K31" s="28">
        <f>IF('E-Gilts'!A31&lt;'Adj-Gilts'!$B$10,'E-Gilts'!N31," ")</f>
        <v>14.322908642593497</v>
      </c>
      <c r="L31" s="122">
        <f>IF('E-Gilts'!A31&lt;'Adj-Gilts'!$B$10,'E-Gilts'!K31," ")</f>
        <v>0.64395515818624749</v>
      </c>
      <c r="M31">
        <f>IF('E-Gilts'!A31&lt;'Adj-Gilts'!$B$10,'E-Gilts'!M31," ")</f>
        <v>0.8971343489089828</v>
      </c>
      <c r="N31" s="30">
        <f>IF('E-Gilts'!A31&lt;'Adj-Gilts'!$B$10,1/L31," ")</f>
        <v>1.5529031599289957</v>
      </c>
      <c r="O31" s="19"/>
      <c r="P31" s="31">
        <f t="shared" si="1"/>
        <v>1.2736419961517433</v>
      </c>
      <c r="Q31" s="31">
        <f t="shared" si="2"/>
        <v>1.9778426804423159</v>
      </c>
      <c r="R31" s="31">
        <f t="shared" si="3"/>
        <v>36.145357878302868</v>
      </c>
    </row>
    <row r="32" spans="1:18" x14ac:dyDescent="0.25">
      <c r="A32" s="28">
        <f>IF('E-Gilts'!A32&lt;'Adj-Gilts'!$B$10,'E-Gilts'!B32," ")</f>
        <v>15.878800999831359</v>
      </c>
      <c r="B32" s="26">
        <f>IF('E-Gilts'!A32&lt;'Adj-Gilts'!$B$10,'E-Gilts'!A32," ")</f>
        <v>50</v>
      </c>
      <c r="C32" s="26">
        <f>IF('E-Gilts'!A32&lt;'Adj-Gilts'!$B$10,'E-Gilts'!C32," ")</f>
        <v>535.79339410097407</v>
      </c>
      <c r="D32" s="28">
        <f>IF('E-Gilts'!A32&lt;'Adj-Gilts'!$B$10,'E-Gilts'!G32," ")</f>
        <v>12.280645939081808</v>
      </c>
      <c r="E32" s="27">
        <f>IF('E-Gilts'!A32&lt;'Adj-Gilts'!$B$10,'E-Gilts'!D32," ")</f>
        <v>0.71857365169872967</v>
      </c>
      <c r="F32" s="27"/>
      <c r="G32" s="92">
        <f t="shared" si="0"/>
        <v>50</v>
      </c>
      <c r="H32" s="28">
        <f>IF('E-Gilts'!A32&lt;'Adj-Gilts'!$B$10,'E-Gilts'!I32," ")</f>
        <v>16.985908828106837</v>
      </c>
      <c r="I32" s="126">
        <f>IF('E-Gilts'!A32&lt;'Adj-Gilts'!$B$10,'E-Gilts'!A32," ")</f>
        <v>50</v>
      </c>
      <c r="J32" s="26">
        <f>IF('E-Gilts'!A32&lt;'Adj-Gilts'!$B$10,'E-Gilts'!J32," ")</f>
        <v>590.65028358926713</v>
      </c>
      <c r="K32" s="28">
        <f>IF('E-Gilts'!A32&lt;'Adj-Gilts'!$B$10,'E-Gilts'!N32," ")</f>
        <v>15.248755726569801</v>
      </c>
      <c r="L32" s="122">
        <f>IF('E-Gilts'!A32&lt;'Adj-Gilts'!$B$10,'E-Gilts'!K32," ")</f>
        <v>0.63795662784026674</v>
      </c>
      <c r="M32">
        <f>IF('E-Gilts'!A32&lt;'Adj-Gilts'!$B$10,'E-Gilts'!M32," ")</f>
        <v>0.92584708397630389</v>
      </c>
      <c r="N32" s="30">
        <f>IF('E-Gilts'!A32&lt;'Adj-Gilts'!$B$10,1/L32," ")</f>
        <v>1.5675046803501234</v>
      </c>
      <c r="O32" s="19"/>
      <c r="P32" s="31">
        <f t="shared" si="1"/>
        <v>1.302160976802293</v>
      </c>
      <c r="Q32" s="31">
        <f t="shared" si="2"/>
        <v>2.0411434257068826</v>
      </c>
      <c r="R32" s="31">
        <f t="shared" si="3"/>
        <v>37.447518855105159</v>
      </c>
    </row>
    <row r="33" spans="1:18" x14ac:dyDescent="0.25">
      <c r="A33" s="28">
        <f>IF('E-Gilts'!A33&lt;'Adj-Gilts'!$B$10,'E-Gilts'!B33," ")</f>
        <v>16.426591706744897</v>
      </c>
      <c r="B33" s="26">
        <f>IF('E-Gilts'!A33&lt;'Adj-Gilts'!$B$10,'E-Gilts'!A33," ")</f>
        <v>51</v>
      </c>
      <c r="C33" s="26">
        <f>IF('E-Gilts'!A33&lt;'Adj-Gilts'!$B$10,'E-Gilts'!C33," ")</f>
        <v>547.79070691353832</v>
      </c>
      <c r="D33" s="28">
        <f>IF('E-Gilts'!A33&lt;'Adj-Gilts'!$B$10,'E-Gilts'!G33," ")</f>
        <v>13.049404477519339</v>
      </c>
      <c r="E33" s="27">
        <f>IF('E-Gilts'!A33&lt;'Adj-Gilts'!$B$10,'E-Gilts'!D33," ")</f>
        <v>0.71256536288611527</v>
      </c>
      <c r="F33" s="27"/>
      <c r="G33" s="92">
        <f t="shared" si="0"/>
        <v>51</v>
      </c>
      <c r="H33" s="28">
        <f>IF('E-Gilts'!A33&lt;'Adj-Gilts'!$B$10,'E-Gilts'!I33," ")</f>
        <v>17.589784762279088</v>
      </c>
      <c r="I33" s="126">
        <f>IF('E-Gilts'!A33&lt;'Adj-Gilts'!$B$10,'E-Gilts'!A33," ")</f>
        <v>51</v>
      </c>
      <c r="J33" s="26">
        <f>IF('E-Gilts'!A33&lt;'Adj-Gilts'!$B$10,'E-Gilts'!J33," ")</f>
        <v>603.87593417225048</v>
      </c>
      <c r="K33" s="28">
        <f>IF('E-Gilts'!A33&lt;'Adj-Gilts'!$B$10,'E-Gilts'!N33," ")</f>
        <v>16.203315545613421</v>
      </c>
      <c r="L33" s="122">
        <f>IF('E-Gilts'!A33&lt;'Adj-Gilts'!$B$10,'E-Gilts'!K33," ")</f>
        <v>0.63262241100539607</v>
      </c>
      <c r="M33">
        <f>IF('E-Gilts'!A33&lt;'Adj-Gilts'!$B$10,'E-Gilts'!M33," ")</f>
        <v>0.95455981904362164</v>
      </c>
      <c r="N33" s="30">
        <f>IF('E-Gilts'!A33&lt;'Adj-Gilts'!$B$10,1/L33," ")</f>
        <v>1.5807217427070732</v>
      </c>
      <c r="O33" s="19"/>
      <c r="P33" s="31">
        <f t="shared" si="1"/>
        <v>1.3313185452662055</v>
      </c>
      <c r="Q33" s="31">
        <f t="shared" si="2"/>
        <v>2.1044441709714419</v>
      </c>
      <c r="R33" s="31">
        <f t="shared" si="3"/>
        <v>38.778837400371366</v>
      </c>
    </row>
    <row r="34" spans="1:18" x14ac:dyDescent="0.25">
      <c r="A34" s="28">
        <f>IF('E-Gilts'!A34&lt;'Adj-Gilts'!$B$10,'E-Gilts'!B34," ")</f>
        <v>16.9866483664287</v>
      </c>
      <c r="B34" s="26">
        <f>IF('E-Gilts'!A34&lt;'Adj-Gilts'!$B$10,'E-Gilts'!A34," ")</f>
        <v>52</v>
      </c>
      <c r="C34" s="26">
        <f>IF('E-Gilts'!A34&lt;'Adj-Gilts'!$B$10,'E-Gilts'!C34," ")</f>
        <v>560.05665968380208</v>
      </c>
      <c r="D34" s="28">
        <f>IF('E-Gilts'!A34&lt;'Adj-Gilts'!$B$10,'E-Gilts'!G34," ")</f>
        <v>13.841286931089833</v>
      </c>
      <c r="E34" s="27">
        <f>IF('E-Gilts'!A34&lt;'Adj-Gilts'!$B$10,'E-Gilts'!D34," ")</f>
        <v>0.7072472147331712</v>
      </c>
      <c r="F34" s="27"/>
      <c r="G34" s="92">
        <f t="shared" si="0"/>
        <v>52</v>
      </c>
      <c r="H34" s="28">
        <f>IF('E-Gilts'!A34&lt;'Adj-Gilts'!$B$10,'E-Gilts'!I34," ")</f>
        <v>18.207182491535068</v>
      </c>
      <c r="I34" s="126">
        <f>IF('E-Gilts'!A34&lt;'Adj-Gilts'!$B$10,'E-Gilts'!A34," ")</f>
        <v>52</v>
      </c>
      <c r="J34" s="26">
        <f>IF('E-Gilts'!A34&lt;'Adj-Gilts'!$B$10,'E-Gilts'!J34," ")</f>
        <v>617.39772925597924</v>
      </c>
      <c r="K34" s="28">
        <f>IF('E-Gilts'!A34&lt;'Adj-Gilts'!$B$10,'E-Gilts'!N34," ")</f>
        <v>17.186588099724371</v>
      </c>
      <c r="L34" s="122">
        <f>IF('E-Gilts'!A34&lt;'Adj-Gilts'!$B$10,'E-Gilts'!K34," ")</f>
        <v>0.62790090771344187</v>
      </c>
      <c r="M34">
        <f>IF('E-Gilts'!A34&lt;'Adj-Gilts'!$B$10,'E-Gilts'!M34," ")</f>
        <v>0.98327255411094894</v>
      </c>
      <c r="N34" s="30">
        <f>IF('E-Gilts'!A34&lt;'Adj-Gilts'!$B$10,1/L34," ")</f>
        <v>1.5926079859345812</v>
      </c>
      <c r="O34" s="19"/>
      <c r="P34" s="31">
        <f t="shared" si="1"/>
        <v>1.3611290005957974</v>
      </c>
      <c r="Q34" s="31">
        <f t="shared" si="2"/>
        <v>2.1677449162360225</v>
      </c>
      <c r="R34" s="31">
        <f t="shared" si="3"/>
        <v>40.139966400967168</v>
      </c>
    </row>
    <row r="35" spans="1:18" x14ac:dyDescent="0.25">
      <c r="A35" s="28">
        <f>IF('E-Gilts'!A35&lt;'Adj-Gilts'!$B$10,'E-Gilts'!B35," ")</f>
        <v>17.559245634139707</v>
      </c>
      <c r="B35" s="26">
        <f>IF('E-Gilts'!A35&lt;'Adj-Gilts'!$B$10,'E-Gilts'!A35," ")</f>
        <v>53</v>
      </c>
      <c r="C35" s="26">
        <f>IF('E-Gilts'!A35&lt;'Adj-Gilts'!$B$10,'E-Gilts'!C35," ")</f>
        <v>572.59726771100713</v>
      </c>
      <c r="D35" s="28">
        <f>IF('E-Gilts'!A35&lt;'Adj-Gilts'!$B$10,'E-Gilts'!G35," ")</f>
        <v>14.656293299793289</v>
      </c>
      <c r="E35" s="27">
        <f>IF('E-Gilts'!A35&lt;'Adj-Gilts'!$B$10,'E-Gilts'!D35," ")</f>
        <v>0.7025678444966228</v>
      </c>
      <c r="F35" s="27"/>
      <c r="G35" s="92">
        <f t="shared" si="0"/>
        <v>53</v>
      </c>
      <c r="H35" s="28">
        <f>IF('E-Gilts'!A35&lt;'Adj-Gilts'!$B$10,'E-Gilts'!I35," ")</f>
        <v>18.838404791547614</v>
      </c>
      <c r="I35" s="126">
        <f>IF('E-Gilts'!A35&lt;'Adj-Gilts'!$B$10,'E-Gilts'!A35," ")</f>
        <v>53</v>
      </c>
      <c r="J35" s="26">
        <f>IF('E-Gilts'!A35&lt;'Adj-Gilts'!$B$10,'E-Gilts'!J35," ")</f>
        <v>631.22230001254695</v>
      </c>
      <c r="K35" s="28">
        <f>IF('E-Gilts'!A35&lt;'Adj-Gilts'!$B$10,'E-Gilts'!N35," ")</f>
        <v>18.198573388902645</v>
      </c>
      <c r="L35" s="122">
        <f>IF('E-Gilts'!A35&lt;'Adj-Gilts'!$B$10,'E-Gilts'!K35," ")</f>
        <v>0.6237465176248721</v>
      </c>
      <c r="M35">
        <f>IF('E-Gilts'!A35&lt;'Adj-Gilts'!$B$10,'E-Gilts'!M35," ")</f>
        <v>1.011985289178273</v>
      </c>
      <c r="N35" s="30">
        <f>IF('E-Gilts'!A35&lt;'Adj-Gilts'!$B$10,1/L35," ")</f>
        <v>1.603215363522736</v>
      </c>
      <c r="O35" s="19"/>
      <c r="P35" s="31">
        <f t="shared" si="1"/>
        <v>1.3916069620230758</v>
      </c>
      <c r="Q35" s="31">
        <f t="shared" si="2"/>
        <v>2.2310456615005956</v>
      </c>
      <c r="R35" s="31">
        <f t="shared" si="3"/>
        <v>41.531573362990237</v>
      </c>
    </row>
    <row r="36" spans="1:18" x14ac:dyDescent="0.25">
      <c r="A36" s="28">
        <f>IF('E-Gilts'!A36&lt;'Adj-Gilts'!$B$10,'E-Gilts'!B36," ")</f>
        <v>18.144664315126771</v>
      </c>
      <c r="B36" s="26">
        <f>IF('E-Gilts'!A36&lt;'Adj-Gilts'!$B$10,'E-Gilts'!A36," ")</f>
        <v>54</v>
      </c>
      <c r="C36" s="26">
        <f>IF('E-Gilts'!A36&lt;'Adj-Gilts'!$B$10,'E-Gilts'!C36," ")</f>
        <v>585.4186809870647</v>
      </c>
      <c r="D36" s="28">
        <f>IF('E-Gilts'!A36&lt;'Adj-Gilts'!$B$10,'E-Gilts'!G36," ")</f>
        <v>15.494423583629693</v>
      </c>
      <c r="E36" s="27">
        <f>IF('E-Gilts'!A36&lt;'Adj-Gilts'!$B$10,'E-Gilts'!D36," ")</f>
        <v>0.69848171850730134</v>
      </c>
      <c r="F36" s="27"/>
      <c r="G36" s="92">
        <f t="shared" si="0"/>
        <v>54</v>
      </c>
      <c r="H36" s="28">
        <f>IF('E-Gilts'!A36&lt;'Adj-Gilts'!$B$10,'E-Gilts'!I36," ")</f>
        <v>19.483761217644759</v>
      </c>
      <c r="I36" s="126">
        <f>IF('E-Gilts'!A36&lt;'Adj-Gilts'!$B$10,'E-Gilts'!A36," ")</f>
        <v>54</v>
      </c>
      <c r="J36" s="26">
        <f>IF('E-Gilts'!A36&lt;'Adj-Gilts'!$B$10,'E-Gilts'!J36," ")</f>
        <v>645.35642609714625</v>
      </c>
      <c r="K36" s="28">
        <f>IF('E-Gilts'!A36&lt;'Adj-Gilts'!$B$10,'E-Gilts'!N36," ")</f>
        <v>19.239271413148227</v>
      </c>
      <c r="L36" s="122">
        <f>IF('E-Gilts'!A36&lt;'Adj-Gilts'!$B$10,'E-Gilts'!K36," ")</f>
        <v>0.62011881550844261</v>
      </c>
      <c r="M36">
        <f>IF('E-Gilts'!A36&lt;'Adj-Gilts'!$B$10,'E-Gilts'!M36," ")</f>
        <v>1.0406980242455812</v>
      </c>
      <c r="N36" s="30">
        <f>IF('E-Gilts'!A36&lt;'Adj-Gilts'!$B$10,1/L36," ")</f>
        <v>1.6125941916148576</v>
      </c>
      <c r="O36" s="19"/>
      <c r="P36" s="31">
        <f t="shared" si="1"/>
        <v>1.4227673761292463</v>
      </c>
      <c r="Q36" s="31">
        <f t="shared" si="2"/>
        <v>2.294346406765134</v>
      </c>
      <c r="R36" s="31">
        <f t="shared" si="3"/>
        <v>42.95434073911948</v>
      </c>
    </row>
    <row r="37" spans="1:18" x14ac:dyDescent="0.25">
      <c r="A37" s="28">
        <f>IF('E-Gilts'!A37&lt;'Adj-Gilts'!$B$10,'E-Gilts'!B37," ")</f>
        <v>18.743191502339283</v>
      </c>
      <c r="B37" s="26">
        <f>IF('E-Gilts'!A37&lt;'Adj-Gilts'!$B$10,'E-Gilts'!A37," ")</f>
        <v>55</v>
      </c>
      <c r="C37" s="26">
        <f>IF('E-Gilts'!A37&lt;'Adj-Gilts'!$B$10,'E-Gilts'!C37," ")</f>
        <v>598.52718721251108</v>
      </c>
      <c r="D37" s="28">
        <f>IF('E-Gilts'!A37&lt;'Adj-Gilts'!$B$10,'E-Gilts'!G37," ")</f>
        <v>16.35768855782802</v>
      </c>
      <c r="E37" s="27">
        <f>IF('E-Gilts'!A37&lt;'Adj-Gilts'!$B$10,'E-Gilts'!D37," ")</f>
        <v>0.69332963238585466</v>
      </c>
      <c r="F37" s="27"/>
      <c r="G37" s="92">
        <f t="shared" si="0"/>
        <v>55</v>
      </c>
      <c r="H37" s="28">
        <f>IF('E-Gilts'!A37&lt;'Adj-Gilts'!$B$10,'E-Gilts'!I37," ")</f>
        <v>20.14356825661757</v>
      </c>
      <c r="I37" s="126">
        <f>IF('E-Gilts'!A37&lt;'Adj-Gilts'!$B$10,'E-Gilts'!A37," ")</f>
        <v>55</v>
      </c>
      <c r="J37" s="26">
        <f>IF('E-Gilts'!A37&lt;'Adj-Gilts'!$B$10,'E-Gilts'!J37," ")</f>
        <v>659.80703897281091</v>
      </c>
      <c r="K37" s="28">
        <f>IF('E-Gilts'!A37&lt;'Adj-Gilts'!$B$10,'E-Gilts'!N37," ")</f>
        <v>20.311178932032213</v>
      </c>
      <c r="L37" s="122">
        <f>IF('E-Gilts'!A37&lt;'Adj-Gilts'!$B$10,'E-Gilts'!K37," ")</f>
        <v>0.61554474369185064</v>
      </c>
      <c r="M37">
        <f>IF('E-Gilts'!A37&lt;'Adj-Gilts'!$B$10,'E-Gilts'!M37," ")</f>
        <v>1.0719075188839864</v>
      </c>
      <c r="N37" s="30">
        <f>IF('E-Gilts'!A37&lt;'Adj-Gilts'!$B$10,1/L37," ")</f>
        <v>1.6245772711863371</v>
      </c>
      <c r="O37" s="19"/>
      <c r="P37" s="31">
        <f t="shared" si="1"/>
        <v>1.4546255241745158</v>
      </c>
      <c r="Q37" s="31">
        <f t="shared" si="2"/>
        <v>2.3631515646614298</v>
      </c>
      <c r="R37" s="31">
        <f t="shared" si="3"/>
        <v>44.408966263293998</v>
      </c>
    </row>
    <row r="38" spans="1:18" x14ac:dyDescent="0.25">
      <c r="A38" s="28">
        <f>IF('E-Gilts'!A38&lt;'Adj-Gilts'!$B$10,'E-Gilts'!B38," ")</f>
        <v>19.355120717219307</v>
      </c>
      <c r="B38" s="26">
        <f>IF('E-Gilts'!A38&lt;'Adj-Gilts'!$B$10,'E-Gilts'!A38," ")</f>
        <v>56</v>
      </c>
      <c r="C38" s="26">
        <f>IF('E-Gilts'!A38&lt;'Adj-Gilts'!$B$10,'E-Gilts'!C38," ")</f>
        <v>611.9292148800248</v>
      </c>
      <c r="D38" s="28">
        <f>IF('E-Gilts'!A38&lt;'Adj-Gilts'!$B$10,'E-Gilts'!G38," ")</f>
        <v>17.246088222388256</v>
      </c>
      <c r="E38" s="27">
        <f>IF('E-Gilts'!A38&lt;'Adj-Gilts'!$B$10,'E-Gilts'!D38," ")</f>
        <v>0.68879946637860923</v>
      </c>
      <c r="F38" s="27"/>
      <c r="G38" s="92">
        <f t="shared" si="0"/>
        <v>56</v>
      </c>
      <c r="H38" s="28">
        <f>IF('E-Gilts'!A38&lt;'Adj-Gilts'!$B$10,'E-Gilts'!I38," ")</f>
        <v>20.818149481927207</v>
      </c>
      <c r="I38" s="126">
        <f>IF('E-Gilts'!A38&lt;'Adj-Gilts'!$B$10,'E-Gilts'!A38," ")</f>
        <v>56</v>
      </c>
      <c r="J38" s="26">
        <f>IF('E-Gilts'!A38&lt;'Adj-Gilts'!$B$10,'E-Gilts'!J38," ")</f>
        <v>674.58122530963681</v>
      </c>
      <c r="K38" s="28">
        <f>IF('E-Gilts'!A38&lt;'Adj-Gilts'!$B$10,'E-Gilts'!N38," ")</f>
        <v>21.414295945554585</v>
      </c>
      <c r="L38" s="122">
        <f>IF('E-Gilts'!A38&lt;'Adj-Gilts'!$B$10,'E-Gilts'!K38," ")</f>
        <v>0.61152281855904511</v>
      </c>
      <c r="M38">
        <f>IF('E-Gilts'!A38&lt;'Adj-Gilts'!$B$10,'E-Gilts'!M38," ")</f>
        <v>1.1031170135223713</v>
      </c>
      <c r="N38" s="30">
        <f>IF('E-Gilts'!A38&lt;'Adj-Gilts'!$B$10,1/L38," ")</f>
        <v>1.6352619553205532</v>
      </c>
      <c r="O38" s="19"/>
      <c r="P38" s="31">
        <f t="shared" si="1"/>
        <v>1.4871970295920911</v>
      </c>
      <c r="Q38" s="31">
        <f t="shared" si="2"/>
        <v>2.4319567225576817</v>
      </c>
      <c r="R38" s="31">
        <f t="shared" si="3"/>
        <v>45.896163292886094</v>
      </c>
    </row>
    <row r="39" spans="1:18" x14ac:dyDescent="0.25">
      <c r="A39" s="28">
        <f>IF('E-Gilts'!A39&lt;'Adj-Gilts'!$B$10,'E-Gilts'!B39," ")</f>
        <v>19.980752053646363</v>
      </c>
      <c r="B39" s="26">
        <f>IF('E-Gilts'!A39&lt;'Adj-Gilts'!$B$10,'E-Gilts'!A39," ")</f>
        <v>57</v>
      </c>
      <c r="C39" s="26">
        <f>IF('E-Gilts'!A39&lt;'Adj-Gilts'!$B$10,'E-Gilts'!C39," ")</f>
        <v>625.63133642705543</v>
      </c>
      <c r="D39" s="28">
        <f>IF('E-Gilts'!A39&lt;'Adj-Gilts'!$B$10,'E-Gilts'!G39," ")</f>
        <v>18.164649515382791</v>
      </c>
      <c r="E39" s="27">
        <f>IF('E-Gilts'!A39&lt;'Adj-Gilts'!$B$10,'E-Gilts'!D39," ")</f>
        <v>0.68109917236712658</v>
      </c>
      <c r="F39" s="27"/>
      <c r="G39" s="92">
        <f t="shared" si="0"/>
        <v>57</v>
      </c>
      <c r="H39" s="28">
        <f>IF('E-Gilts'!A39&lt;'Adj-Gilts'!$B$10,'E-Gilts'!I39," ")</f>
        <v>21.507835712387397</v>
      </c>
      <c r="I39" s="126">
        <f>IF('E-Gilts'!A39&lt;'Adj-Gilts'!$B$10,'E-Gilts'!A39," ")</f>
        <v>57</v>
      </c>
      <c r="J39" s="26">
        <f>IF('E-Gilts'!A39&lt;'Adj-Gilts'!$B$10,'E-Gilts'!J39," ")</f>
        <v>689.68623046019115</v>
      </c>
      <c r="K39" s="28">
        <f>IF('E-Gilts'!A39&lt;'Adj-Gilts'!$B$10,'E-Gilts'!N39," ")</f>
        <v>22.554864352643033</v>
      </c>
      <c r="L39" s="122">
        <f>IF('E-Gilts'!A39&lt;'Adj-Gilts'!$B$10,'E-Gilts'!K39," ")</f>
        <v>0.60468642316752075</v>
      </c>
      <c r="M39">
        <f>IF('E-Gilts'!A39&lt;'Adj-Gilts'!$B$10,'E-Gilts'!M39," ")</f>
        <v>1.1405684070884494</v>
      </c>
      <c r="N39" s="30">
        <f>IF('E-Gilts'!A39&lt;'Adj-Gilts'!$B$10,1/L39," ")</f>
        <v>1.65374971503695</v>
      </c>
      <c r="O39" s="19"/>
      <c r="P39" s="31">
        <f t="shared" si="1"/>
        <v>1.5204978656501456</v>
      </c>
      <c r="Q39" s="31">
        <f t="shared" si="2"/>
        <v>2.5145229120332191</v>
      </c>
      <c r="R39" s="31">
        <f t="shared" si="3"/>
        <v>47.416661158536229</v>
      </c>
    </row>
    <row r="40" spans="1:18" x14ac:dyDescent="0.25">
      <c r="A40" s="28">
        <f>IF('E-Gilts'!A40&lt;'Adj-Gilts'!$B$10,'E-Gilts'!B40," ")</f>
        <v>20.620392325105275</v>
      </c>
      <c r="B40" s="26">
        <f>IF('E-Gilts'!A40&lt;'Adj-Gilts'!$B$10,'E-Gilts'!A40," ")</f>
        <v>58</v>
      </c>
      <c r="C40" s="26">
        <f>IF('E-Gilts'!A40&lt;'Adj-Gilts'!$B$10,'E-Gilts'!C40," ")</f>
        <v>639.64027145891225</v>
      </c>
      <c r="D40" s="28">
        <f>IF('E-Gilts'!A40&lt;'Adj-Gilts'!$B$10,'E-Gilts'!G40," ")</f>
        <v>19.113372436811613</v>
      </c>
      <c r="E40" s="27">
        <f>IF('E-Gilts'!A40&lt;'Adj-Gilts'!$B$10,'E-Gilts'!D40," ")</f>
        <v>0.67421188738181093</v>
      </c>
      <c r="F40" s="27"/>
      <c r="G40" s="92">
        <f t="shared" si="0"/>
        <v>58</v>
      </c>
      <c r="H40" s="28">
        <f>IF('E-Gilts'!A40&lt;'Adj-Gilts'!$B$10,'E-Gilts'!I40," ")</f>
        <v>22.212965174399994</v>
      </c>
      <c r="I40" s="126">
        <f>IF('E-Gilts'!A40&lt;'Adj-Gilts'!$B$10,'E-Gilts'!A40," ")</f>
        <v>58</v>
      </c>
      <c r="J40" s="26">
        <f>IF('E-Gilts'!A40&lt;'Adj-Gilts'!$B$10,'E-Gilts'!J40," ")</f>
        <v>705.12946201259535</v>
      </c>
      <c r="K40" s="28">
        <f>IF('E-Gilts'!A40&lt;'Adj-Gilts'!$B$10,'E-Gilts'!N40," ")</f>
        <v>23.732884153297544</v>
      </c>
      <c r="L40" s="122">
        <f>IF('E-Gilts'!A40&lt;'Adj-Gilts'!$B$10,'E-Gilts'!K40," ")</f>
        <v>0.59857182504133033</v>
      </c>
      <c r="M40">
        <f>IF('E-Gilts'!A40&lt;'Adj-Gilts'!$B$10,'E-Gilts'!M40," ")</f>
        <v>1.178019800654512</v>
      </c>
      <c r="N40" s="30">
        <f>IF('E-Gilts'!A40&lt;'Adj-Gilts'!$B$10,1/L40," ")</f>
        <v>1.6706432848404646</v>
      </c>
      <c r="O40" s="19"/>
      <c r="P40" s="31">
        <f t="shared" si="1"/>
        <v>1.5545443632850247</v>
      </c>
      <c r="Q40" s="31">
        <f t="shared" si="2"/>
        <v>2.5970891015087223</v>
      </c>
      <c r="R40" s="31">
        <f t="shared" si="3"/>
        <v>48.971205521821261</v>
      </c>
    </row>
    <row r="41" spans="1:18" x14ac:dyDescent="0.25">
      <c r="A41" s="28">
        <f>IF('E-Gilts'!A41&lt;'Adj-Gilts'!$B$10,'E-Gilts'!B41," ")</f>
        <v>21.274355215149445</v>
      </c>
      <c r="B41" s="26">
        <f>IF('E-Gilts'!A41&lt;'Adj-Gilts'!$B$10,'E-Gilts'!A41," ")</f>
        <v>59</v>
      </c>
      <c r="C41" s="26">
        <f>IF('E-Gilts'!A41&lt;'Adj-Gilts'!$B$10,'E-Gilts'!C41," ")</f>
        <v>653.96289004416985</v>
      </c>
      <c r="D41" s="28">
        <f>IF('E-Gilts'!A41&lt;'Adj-Gilts'!$B$10,'E-Gilts'!G41," ")</f>
        <v>20.092256986674737</v>
      </c>
      <c r="E41" s="27">
        <f>IF('E-Gilts'!A41&lt;'Adj-Gilts'!$B$10,'E-Gilts'!D41," ")</f>
        <v>0.66806947779042103</v>
      </c>
      <c r="F41" s="27"/>
      <c r="G41" s="92">
        <f t="shared" si="0"/>
        <v>59</v>
      </c>
      <c r="H41" s="28">
        <f>IF('E-Gilts'!A41&lt;'Adj-Gilts'!$B$10,'E-Gilts'!I41," ")</f>
        <v>22.93388366782332</v>
      </c>
      <c r="I41" s="126">
        <f>IF('E-Gilts'!A41&lt;'Adj-Gilts'!$B$10,'E-Gilts'!A41," ")</f>
        <v>59</v>
      </c>
      <c r="J41" s="26">
        <f>IF('E-Gilts'!A41&lt;'Adj-Gilts'!$B$10,'E-Gilts'!J41," ")</f>
        <v>720.91849342332796</v>
      </c>
      <c r="K41" s="28">
        <f>IF('E-Gilts'!A41&lt;'Adj-Gilts'!$B$10,'E-Gilts'!N41," ")</f>
        <v>24.948355347518138</v>
      </c>
      <c r="L41" s="122">
        <f>IF('E-Gilts'!A41&lt;'Adj-Gilts'!$B$10,'E-Gilts'!K41," ")</f>
        <v>0.59311853448374707</v>
      </c>
      <c r="M41">
        <f>IF('E-Gilts'!A41&lt;'Adj-Gilts'!$B$10,'E-Gilts'!M41," ")</f>
        <v>1.2154711942205929</v>
      </c>
      <c r="N41" s="30">
        <f>IF('E-Gilts'!A41&lt;'Adj-Gilts'!$B$10,1/L41," ")</f>
        <v>1.6860036263584384</v>
      </c>
      <c r="O41" s="19"/>
      <c r="P41" s="31">
        <f t="shared" si="1"/>
        <v>1.5893532191102067</v>
      </c>
      <c r="Q41" s="31">
        <f t="shared" si="2"/>
        <v>2.6796552909842664</v>
      </c>
      <c r="R41" s="31">
        <f t="shared" si="3"/>
        <v>50.560558740931469</v>
      </c>
    </row>
    <row r="42" spans="1:18" x14ac:dyDescent="0.25">
      <c r="A42" s="28">
        <f>IF('E-Gilts'!A42&lt;'Adj-Gilts'!$B$10,'E-Gilts'!B42," ")</f>
        <v>21.942586904228435</v>
      </c>
      <c r="B42" s="26">
        <f>IF('E-Gilts'!A42&lt;'Adj-Gilts'!$B$10,'E-Gilts'!A42," ")</f>
        <v>60</v>
      </c>
      <c r="C42" s="26">
        <f>IF('E-Gilts'!A42&lt;'Adj-Gilts'!$B$10,'E-Gilts'!C42," ")</f>
        <v>668.23168907898992</v>
      </c>
      <c r="D42" s="28">
        <f>IF('E-Gilts'!A42&lt;'Adj-Gilts'!$B$10,'E-Gilts'!G42," ")</f>
        <v>21.094362195579073</v>
      </c>
      <c r="E42" s="27">
        <f>IF('E-Gilts'!A42&lt;'Adj-Gilts'!$B$10,'E-Gilts'!D42," ")</f>
        <v>0.666827877094472</v>
      </c>
      <c r="F42" s="27"/>
      <c r="G42" s="92">
        <f t="shared" si="0"/>
        <v>60</v>
      </c>
      <c r="H42" s="28">
        <f>IF('E-Gilts'!A42&lt;'Adj-Gilts'!$B$10,'E-Gilts'!I42," ")</f>
        <v>23.670531862824131</v>
      </c>
      <c r="I42" s="126">
        <f>IF('E-Gilts'!A42&lt;'Adj-Gilts'!$B$10,'E-Gilts'!A42," ")</f>
        <v>60</v>
      </c>
      <c r="J42" s="26">
        <f>IF('E-Gilts'!A42&lt;'Adj-Gilts'!$B$10,'E-Gilts'!J42," ")</f>
        <v>736.64819500081035</v>
      </c>
      <c r="K42" s="28">
        <f>IF('E-Gilts'!A42&lt;'Adj-Gilts'!$B$10,'E-Gilts'!N42," ")</f>
        <v>26.192659402753193</v>
      </c>
      <c r="L42" s="122">
        <f>IF('E-Gilts'!A42&lt;'Adj-Gilts'!$B$10,'E-Gilts'!K42," ")</f>
        <v>0.5920162293947151</v>
      </c>
      <c r="M42">
        <f>IF('E-Gilts'!A42&lt;'Adj-Gilts'!$B$10,'E-Gilts'!M42," ")</f>
        <v>1.2443040552350546</v>
      </c>
      <c r="N42" s="30">
        <f>IF('E-Gilts'!A42&lt;'Adj-Gilts'!$B$10,1/L42," ")</f>
        <v>1.6891428821510732</v>
      </c>
      <c r="O42" s="19"/>
      <c r="P42" s="31">
        <f t="shared" si="1"/>
        <v>1.6240312750428547</v>
      </c>
      <c r="Q42" s="31">
        <f t="shared" si="2"/>
        <v>2.7432208686293702</v>
      </c>
      <c r="R42" s="31">
        <f t="shared" si="3"/>
        <v>52.184590015974322</v>
      </c>
    </row>
    <row r="43" spans="1:18" x14ac:dyDescent="0.25">
      <c r="A43" s="28">
        <f>IF('E-Gilts'!A43&lt;'Adj-Gilts'!$B$10,'E-Gilts'!B43," ")</f>
        <v>22.606838224013956</v>
      </c>
      <c r="B43" s="26">
        <f>IF('E-Gilts'!A43&lt;'Adj-Gilts'!$B$10,'E-Gilts'!A43," ")</f>
        <v>61</v>
      </c>
      <c r="C43" s="26">
        <f>IF('E-Gilts'!A43&lt;'Adj-Gilts'!$B$10,'E-Gilts'!C43," ")</f>
        <v>664.25131978552088</v>
      </c>
      <c r="D43" s="28">
        <f>IF('E-Gilts'!A43&lt;'Adj-Gilts'!$B$10,'E-Gilts'!G43," ")</f>
        <v>22.112572905531255</v>
      </c>
      <c r="E43" s="27">
        <f>IF('E-Gilts'!A43&lt;'Adj-Gilts'!$B$10,'E-Gilts'!D43," ")</f>
        <v>0.65237117749106799</v>
      </c>
      <c r="F43" s="27"/>
      <c r="G43" s="92">
        <f t="shared" si="0"/>
        <v>61</v>
      </c>
      <c r="H43" s="28">
        <f>IF('E-Gilts'!A43&lt;'Adj-Gilts'!$B$10,'E-Gilts'!I43," ")</f>
        <v>24.402792160777569</v>
      </c>
      <c r="I43" s="126">
        <f>IF('E-Gilts'!A43&lt;'Adj-Gilts'!$B$10,'E-Gilts'!A43," ")</f>
        <v>61</v>
      </c>
      <c r="J43" s="26">
        <f>IF('E-Gilts'!A43&lt;'Adj-Gilts'!$B$10,'E-Gilts'!J43," ")</f>
        <v>732.26029795343754</v>
      </c>
      <c r="K43" s="28">
        <f>IF('E-Gilts'!A43&lt;'Adj-Gilts'!$B$10,'E-Gilts'!N43," ")</f>
        <v>27.456961498201348</v>
      </c>
      <c r="L43" s="122">
        <f>IF('E-Gilts'!A43&lt;'Adj-Gilts'!$B$10,'E-Gilts'!K43," ")</f>
        <v>0.57918143186646664</v>
      </c>
      <c r="M43">
        <f>IF('E-Gilts'!A43&lt;'Adj-Gilts'!$B$10,'E-Gilts'!M43," ")</f>
        <v>1.2643020954481565</v>
      </c>
      <c r="N43" s="30">
        <f>IF('E-Gilts'!A43&lt;'Adj-Gilts'!$B$10,1/L43," ")</f>
        <v>1.7265746879650576</v>
      </c>
      <c r="O43" s="19"/>
      <c r="P43" s="31">
        <f t="shared" si="1"/>
        <v>1.6143576179498731</v>
      </c>
      <c r="Q43" s="31">
        <f t="shared" si="2"/>
        <v>2.7873090004758159</v>
      </c>
      <c r="R43" s="31">
        <f t="shared" si="3"/>
        <v>53.7989476339242</v>
      </c>
    </row>
    <row r="44" spans="1:18" x14ac:dyDescent="0.25">
      <c r="A44" s="28">
        <f>IF('E-Gilts'!A44&lt;'Adj-Gilts'!$B$10,'E-Gilts'!B44," ")</f>
        <v>23.279812322142401</v>
      </c>
      <c r="B44" s="26">
        <f>IF('E-Gilts'!A44&lt;'Adj-Gilts'!$B$10,'E-Gilts'!A44," ")</f>
        <v>62</v>
      </c>
      <c r="C44" s="26">
        <f>IF('E-Gilts'!A44&lt;'Adj-Gilts'!$B$10,'E-Gilts'!C44," ")</f>
        <v>672.9740981284458</v>
      </c>
      <c r="D44" s="28">
        <f>IF('E-Gilts'!A44&lt;'Adj-Gilts'!$B$10,'E-Gilts'!G44," ")</f>
        <v>23.157795877983862</v>
      </c>
      <c r="E44" s="27">
        <f>IF('E-Gilts'!A44&lt;'Adj-Gilts'!$B$10,'E-Gilts'!D44," ")</f>
        <v>0.6438569720193934</v>
      </c>
      <c r="F44" s="27"/>
      <c r="G44" s="92">
        <f t="shared" si="0"/>
        <v>62</v>
      </c>
      <c r="H44" s="28">
        <f>IF('E-Gilts'!A44&lt;'Adj-Gilts'!$B$10,'E-Gilts'!I44," ")</f>
        <v>25.14466831357106</v>
      </c>
      <c r="I44" s="126">
        <f>IF('E-Gilts'!A44&lt;'Adj-Gilts'!$B$10,'E-Gilts'!A44," ")</f>
        <v>62</v>
      </c>
      <c r="J44" s="26">
        <f>IF('E-Gilts'!A44&lt;'Adj-Gilts'!$B$10,'E-Gilts'!J44," ")</f>
        <v>741.87615279349177</v>
      </c>
      <c r="K44" s="28">
        <f>IF('E-Gilts'!A44&lt;'Adj-Gilts'!$B$10,'E-Gilts'!N44," ")</f>
        <v>28.754804450908498</v>
      </c>
      <c r="L44" s="122">
        <f>IF('E-Gilts'!A44&lt;'Adj-Gilts'!$B$10,'E-Gilts'!K44," ")</f>
        <v>0.57162243801996526</v>
      </c>
      <c r="M44">
        <f>IF('E-Gilts'!A44&lt;'Adj-Gilts'!$B$10,'E-Gilts'!M44," ")</f>
        <v>1.2978429527071502</v>
      </c>
      <c r="N44" s="30">
        <f>IF('E-Gilts'!A44&lt;'Adj-Gilts'!$B$10,1/L44," ")</f>
        <v>1.7494064849236597</v>
      </c>
      <c r="O44" s="19"/>
      <c r="P44" s="31">
        <f t="shared" si="1"/>
        <v>1.6355569490586708</v>
      </c>
      <c r="Q44" s="31">
        <f t="shared" si="2"/>
        <v>2.8612539331451941</v>
      </c>
      <c r="R44" s="31">
        <f t="shared" si="3"/>
        <v>55.434504582982868</v>
      </c>
    </row>
    <row r="45" spans="1:18" x14ac:dyDescent="0.25">
      <c r="A45" s="28">
        <f>IF('E-Gilts'!A45&lt;'Adj-Gilts'!$B$10,'E-Gilts'!B45," ")</f>
        <v>23.961380792645365</v>
      </c>
      <c r="B45" s="26">
        <f>IF('E-Gilts'!A45&lt;'Adj-Gilts'!$B$10,'E-Gilts'!A45," ")</f>
        <v>63</v>
      </c>
      <c r="C45" s="26">
        <f>IF('E-Gilts'!A45&lt;'Adj-Gilts'!$B$10,'E-Gilts'!C45," ")</f>
        <v>681.56847050296324</v>
      </c>
      <c r="D45" s="28">
        <f>IF('E-Gilts'!A45&lt;'Adj-Gilts'!$B$10,'E-Gilts'!G45," ")</f>
        <v>24.230115697164312</v>
      </c>
      <c r="E45" s="27">
        <f>IF('E-Gilts'!A45&lt;'Adj-Gilts'!$B$10,'E-Gilts'!D45," ")</f>
        <v>0.63560185899004595</v>
      </c>
      <c r="F45" s="27"/>
      <c r="G45" s="92">
        <f t="shared" si="0"/>
        <v>63</v>
      </c>
      <c r="H45" s="28">
        <f>IF('E-Gilts'!A45&lt;'Adj-Gilts'!$B$10,'E-Gilts'!I45," ")</f>
        <v>25.896018768467133</v>
      </c>
      <c r="I45" s="126">
        <f>IF('E-Gilts'!A45&lt;'Adj-Gilts'!$B$10,'E-Gilts'!A45," ")</f>
        <v>63</v>
      </c>
      <c r="J45" s="26">
        <f>IF('E-Gilts'!A45&lt;'Adj-Gilts'!$B$10,'E-Gilts'!J45," ")</f>
        <v>751.35045489607387</v>
      </c>
      <c r="K45" s="28">
        <f>IF('E-Gilts'!A45&lt;'Adj-Gilts'!$B$10,'E-Gilts'!N45," ")</f>
        <v>30.086293288267221</v>
      </c>
      <c r="L45" s="122">
        <f>IF('E-Gilts'!A45&lt;'Adj-Gilts'!$B$10,'E-Gilts'!K45," ")</f>
        <v>0.56429346894603283</v>
      </c>
      <c r="M45">
        <f>IF('E-Gilts'!A45&lt;'Adj-Gilts'!$B$10,'E-Gilts'!M45," ")</f>
        <v>1.331488837358723</v>
      </c>
      <c r="N45" s="30">
        <f>IF('E-Gilts'!A45&lt;'Adj-Gilts'!$B$10,1/L45," ")</f>
        <v>1.7721275453847876</v>
      </c>
      <c r="O45" s="19"/>
      <c r="P45" s="31">
        <f t="shared" si="1"/>
        <v>1.6564442098002528</v>
      </c>
      <c r="Q45" s="31">
        <f t="shared" si="2"/>
        <v>2.9354304115801662</v>
      </c>
      <c r="R45" s="31">
        <f t="shared" si="3"/>
        <v>57.090948792783109</v>
      </c>
    </row>
    <row r="46" spans="1:18" x14ac:dyDescent="0.25">
      <c r="A46" s="28">
        <f>IF('E-Gilts'!A46&lt;'Adj-Gilts'!$B$10,'E-Gilts'!B46," ")</f>
        <v>24.651413967341423</v>
      </c>
      <c r="B46" s="26">
        <f>IF('E-Gilts'!A46&lt;'Adj-Gilts'!$B$10,'E-Gilts'!A46," ")</f>
        <v>64</v>
      </c>
      <c r="C46" s="26">
        <f>IF('E-Gilts'!A46&lt;'Adj-Gilts'!$B$10,'E-Gilts'!C46," ")</f>
        <v>690.03317469605815</v>
      </c>
      <c r="D46" s="28">
        <f>IF('E-Gilts'!A46&lt;'Adj-Gilts'!$B$10,'E-Gilts'!G46," ")</f>
        <v>25.329598562032533</v>
      </c>
      <c r="E46" s="27">
        <f>IF('E-Gilts'!A46&lt;'Adj-Gilts'!$B$10,'E-Gilts'!D46," ")</f>
        <v>0.62759793421497501</v>
      </c>
      <c r="F46" s="27"/>
      <c r="G46" s="92">
        <f t="shared" si="0"/>
        <v>64</v>
      </c>
      <c r="H46" s="28">
        <f>IF('E-Gilts'!A46&lt;'Adj-Gilts'!$B$10,'E-Gilts'!I46," ")</f>
        <v>26.656700581284369</v>
      </c>
      <c r="I46" s="126">
        <f>IF('E-Gilts'!A46&lt;'Adj-Gilts'!$B$10,'E-Gilts'!A46," ")</f>
        <v>64</v>
      </c>
      <c r="J46" s="26">
        <f>IF('E-Gilts'!A46&lt;'Adj-Gilts'!$B$10,'E-Gilts'!J46," ")</f>
        <v>760.68181281723662</v>
      </c>
      <c r="K46" s="28">
        <f>IF('E-Gilts'!A46&lt;'Adj-Gilts'!$B$10,'E-Gilts'!N46," ")</f>
        <v>31.451510208866608</v>
      </c>
      <c r="L46" s="122">
        <f>IF('E-Gilts'!A46&lt;'Adj-Gilts'!$B$10,'E-Gilts'!K46," ")</f>
        <v>0.5571875072301804</v>
      </c>
      <c r="M46">
        <f>IF('E-Gilts'!A46&lt;'Adj-Gilts'!$B$10,'E-Gilts'!M46," ")</f>
        <v>1.3652169205993887</v>
      </c>
      <c r="N46" s="30">
        <f>IF('E-Gilts'!A46&lt;'Adj-Gilts'!$B$10,1/L46," ")</f>
        <v>1.7947279632507784</v>
      </c>
      <c r="O46" s="19"/>
      <c r="P46" s="31">
        <f t="shared" si="1"/>
        <v>1.6770163325658158</v>
      </c>
      <c r="Q46" s="31">
        <f t="shared" si="2"/>
        <v>3.0097881068841361</v>
      </c>
      <c r="R46" s="31">
        <f t="shared" si="3"/>
        <v>58.76796512534893</v>
      </c>
    </row>
    <row r="47" spans="1:18" x14ac:dyDescent="0.25">
      <c r="A47" s="28">
        <f>IF('E-Gilts'!A47&lt;'Adj-Gilts'!$B$10,'E-Gilts'!B47," ")</f>
        <v>25.349780988429394</v>
      </c>
      <c r="B47" s="26">
        <f>IF('E-Gilts'!A47&lt;'Adj-Gilts'!$B$10,'E-Gilts'!A47," ")</f>
        <v>65</v>
      </c>
      <c r="C47" s="26">
        <f>IF('E-Gilts'!A47&lt;'Adj-Gilts'!$B$10,'E-Gilts'!C47," ")</f>
        <v>698.36702108797158</v>
      </c>
      <c r="D47" s="28">
        <f>IF('E-Gilts'!A47&lt;'Adj-Gilts'!$B$10,'E-Gilts'!G47," ")</f>
        <v>26.456292391982149</v>
      </c>
      <c r="E47" s="27">
        <f>IF('E-Gilts'!A47&lt;'Adj-Gilts'!$B$10,'E-Gilts'!D47," ")</f>
        <v>0.61983744165813159</v>
      </c>
      <c r="F47" s="27"/>
      <c r="G47" s="92">
        <f t="shared" si="0"/>
        <v>65</v>
      </c>
      <c r="H47" s="28">
        <f>IF('E-Gilts'!A47&lt;'Adj-Gilts'!$B$10,'E-Gilts'!I47," ")</f>
        <v>27.426569496423074</v>
      </c>
      <c r="I47" s="126">
        <f>IF('E-Gilts'!A47&lt;'Adj-Gilts'!$B$10,'E-Gilts'!A47," ")</f>
        <v>65</v>
      </c>
      <c r="J47" s="26">
        <f>IF('E-Gilts'!A47&lt;'Adj-Gilts'!$B$10,'E-Gilts'!J47," ")</f>
        <v>769.86891513870603</v>
      </c>
      <c r="K47" s="28">
        <f>IF('E-Gilts'!A47&lt;'Adj-Gilts'!$B$10,'E-Gilts'!N47," ")</f>
        <v>32.850514713740367</v>
      </c>
      <c r="L47" s="122">
        <f>IF('E-Gilts'!A47&lt;'Adj-Gilts'!$B$10,'E-Gilts'!K47," ")</f>
        <v>0.55029766698869731</v>
      </c>
      <c r="M47">
        <f>IF('E-Gilts'!A47&lt;'Adj-Gilts'!$B$10,'E-Gilts'!M47," ")</f>
        <v>1.3990045048737569</v>
      </c>
      <c r="N47" s="30">
        <f>IF('E-Gilts'!A47&lt;'Adj-Gilts'!$B$10,1/L47," ")</f>
        <v>1.8171983273564183</v>
      </c>
      <c r="O47" s="19"/>
      <c r="P47" s="31">
        <f t="shared" si="1"/>
        <v>1.6972704261729668</v>
      </c>
      <c r="Q47" s="31">
        <f t="shared" si="2"/>
        <v>3.0842769795130307</v>
      </c>
      <c r="R47" s="31">
        <f t="shared" si="3"/>
        <v>60.4652355515219</v>
      </c>
    </row>
    <row r="48" spans="1:18" x14ac:dyDescent="0.25">
      <c r="A48" s="28">
        <f>IF('E-Gilts'!A48&lt;'Adj-Gilts'!$B$10,'E-Gilts'!B48," ")</f>
        <v>26.056349880604522</v>
      </c>
      <c r="B48" s="26">
        <f>IF('E-Gilts'!A48&lt;'Adj-Gilts'!$B$10,'E-Gilts'!A48," ")</f>
        <v>66</v>
      </c>
      <c r="C48" s="26">
        <f>IF('E-Gilts'!A48&lt;'Adj-Gilts'!$B$10,'E-Gilts'!C48," ")</f>
        <v>706.56889217512742</v>
      </c>
      <c r="D48" s="28">
        <f>IF('E-Gilts'!A48&lt;'Adj-Gilts'!$B$10,'E-Gilts'!G48," ")</f>
        <v>27.610226968816871</v>
      </c>
      <c r="E48" s="27">
        <f>IF('E-Gilts'!A48&lt;'Adj-Gilts'!$B$10,'E-Gilts'!D48," ")</f>
        <v>0.61231278302905834</v>
      </c>
      <c r="F48" s="27"/>
      <c r="G48" s="92">
        <f t="shared" si="0"/>
        <v>66</v>
      </c>
      <c r="H48" s="28">
        <f>IF('E-Gilts'!A48&lt;'Adj-Gilts'!$B$10,'E-Gilts'!I48," ")</f>
        <v>28.205480026365038</v>
      </c>
      <c r="I48" s="126">
        <f>IF('E-Gilts'!A48&lt;'Adj-Gilts'!$B$10,'E-Gilts'!A48," ")</f>
        <v>66</v>
      </c>
      <c r="J48" s="26">
        <f>IF('E-Gilts'!A48&lt;'Adj-Gilts'!$B$10,'E-Gilts'!J48," ")</f>
        <v>778.910529941964</v>
      </c>
      <c r="K48" s="28">
        <f>IF('E-Gilts'!A48&lt;'Adj-Gilts'!$B$10,'E-Gilts'!N48," ")</f>
        <v>34.283343782657482</v>
      </c>
      <c r="L48" s="122">
        <f>IF('E-Gilts'!A48&lt;'Adj-Gilts'!$B$10,'E-Gilts'!K48," ")</f>
        <v>0.5436172023859327</v>
      </c>
      <c r="M48">
        <f>IF('E-Gilts'!A48&lt;'Adj-Gilts'!$B$10,'E-Gilts'!M48," ")</f>
        <v>1.432829068917117</v>
      </c>
      <c r="N48" s="30">
        <f>IF('E-Gilts'!A48&lt;'Adj-Gilts'!$B$10,1/L48," ")</f>
        <v>1.8395297198304357</v>
      </c>
      <c r="O48" s="19"/>
      <c r="P48" s="31">
        <f t="shared" si="1"/>
        <v>1.7172037747062721</v>
      </c>
      <c r="Q48" s="31">
        <f t="shared" si="2"/>
        <v>3.1588473785771947</v>
      </c>
      <c r="R48" s="31">
        <f t="shared" si="3"/>
        <v>62.18243932622817</v>
      </c>
    </row>
    <row r="49" spans="1:18" x14ac:dyDescent="0.25">
      <c r="A49" s="28">
        <f>IF('E-Gilts'!A49&lt;'Adj-Gilts'!$B$10,'E-Gilts'!B49," ")</f>
        <v>26.770987622661814</v>
      </c>
      <c r="B49" s="26">
        <f>IF('E-Gilts'!A49&lt;'Adj-Gilts'!$B$10,'E-Gilts'!A49," ")</f>
        <v>67</v>
      </c>
      <c r="C49" s="26">
        <f>IF('E-Gilts'!A49&lt;'Adj-Gilts'!$B$10,'E-Gilts'!C49," ")</f>
        <v>714.6377420572918</v>
      </c>
      <c r="D49" s="28">
        <f>IF('E-Gilts'!A49&lt;'Adj-Gilts'!$B$10,'E-Gilts'!G49," ")</f>
        <v>28.791414114365327</v>
      </c>
      <c r="E49" s="27">
        <f>IF('E-Gilts'!A49&lt;'Adj-Gilts'!$B$10,'E-Gilts'!D49," ")</f>
        <v>0.605016524900859</v>
      </c>
      <c r="F49" s="27"/>
      <c r="G49" s="92">
        <f t="shared" si="0"/>
        <v>67</v>
      </c>
      <c r="H49" s="28">
        <f>IF('E-Gilts'!A49&lt;'Adj-Gilts'!$B$10,'E-Gilts'!I49," ")</f>
        <v>28.993285530607938</v>
      </c>
      <c r="I49" s="126">
        <f>IF('E-Gilts'!A49&lt;'Adj-Gilts'!$B$10,'E-Gilts'!A49," ")</f>
        <v>67</v>
      </c>
      <c r="J49" s="26">
        <f>IF('E-Gilts'!A49&lt;'Adj-Gilts'!$B$10,'E-Gilts'!J49," ")</f>
        <v>787.80550424290038</v>
      </c>
      <c r="K49" s="28">
        <f>IF('E-Gilts'!A49&lt;'Adj-Gilts'!$B$10,'E-Gilts'!N49," ")</f>
        <v>35.750012094664804</v>
      </c>
      <c r="L49" s="122">
        <f>IF('E-Gilts'!A49&lt;'Adj-Gilts'!$B$10,'E-Gilts'!K49," ")</f>
        <v>0.53713951395369697</v>
      </c>
      <c r="M49">
        <f>IF('E-Gilts'!A49&lt;'Adj-Gilts'!$B$10,'E-Gilts'!M49," ")</f>
        <v>1.4666683120073187</v>
      </c>
      <c r="N49" s="30">
        <f>IF('E-Gilts'!A49&lt;'Adj-Gilts'!$B$10,1/L49," ")</f>
        <v>1.8617137150073881</v>
      </c>
      <c r="O49" s="19"/>
      <c r="P49" s="31">
        <f t="shared" si="1"/>
        <v>1.7368138362708798</v>
      </c>
      <c r="Q49" s="31">
        <f t="shared" si="2"/>
        <v>3.2334501394000932</v>
      </c>
      <c r="R49" s="31">
        <f t="shared" si="3"/>
        <v>63.919253162499054</v>
      </c>
    </row>
    <row r="50" spans="1:18" x14ac:dyDescent="0.25">
      <c r="A50" s="28">
        <f>IF('E-Gilts'!A50&lt;'Adj-Gilts'!$B$10,'E-Gilts'!B50," ")</f>
        <v>27.493560218550854</v>
      </c>
      <c r="B50" s="26">
        <f>IF('E-Gilts'!A50&lt;'Adj-Gilts'!$B$10,'E-Gilts'!A50," ")</f>
        <v>68</v>
      </c>
      <c r="C50" s="26">
        <f>IF('E-Gilts'!A50&lt;'Adj-Gilts'!$B$10,'E-Gilts'!C50," ")</f>
        <v>722.57259588904071</v>
      </c>
      <c r="D50" s="28">
        <f>IF('E-Gilts'!A50&lt;'Adj-Gilts'!$B$10,'E-Gilts'!G50," ")</f>
        <v>29.99984790294944</v>
      </c>
      <c r="E50" s="27">
        <f>IF('E-Gilts'!A50&lt;'Adj-Gilts'!$B$10,'E-Gilts'!D50," ")</f>
        <v>0.59794140375341454</v>
      </c>
      <c r="F50" s="27"/>
      <c r="G50" s="92">
        <f t="shared" si="0"/>
        <v>68</v>
      </c>
      <c r="H50" s="28">
        <f>IF('E-Gilts'!A50&lt;'Adj-Gilts'!$B$10,'E-Gilts'!I50," ")</f>
        <v>29.789838293995057</v>
      </c>
      <c r="I50" s="126">
        <f>IF('E-Gilts'!A50&lt;'Adj-Gilts'!$B$10,'E-Gilts'!A50," ")</f>
        <v>68</v>
      </c>
      <c r="J50" s="26">
        <f>IF('E-Gilts'!A50&lt;'Adj-Gilts'!$B$10,'E-Gilts'!J50," ")</f>
        <v>796.5527633871194</v>
      </c>
      <c r="K50" s="28">
        <f>IF('E-Gilts'!A50&lt;'Adj-Gilts'!$B$10,'E-Gilts'!N50," ")</f>
        <v>37.250512291906887</v>
      </c>
      <c r="L50" s="122">
        <f>IF('E-Gilts'!A50&lt;'Adj-Gilts'!$B$10,'E-Gilts'!K50," ")</f>
        <v>0.5308581530686789</v>
      </c>
      <c r="M50">
        <f>IF('E-Gilts'!A50&lt;'Adj-Gilts'!$B$10,'E-Gilts'!M50," ")</f>
        <v>1.5005001972420808</v>
      </c>
      <c r="N50" s="30">
        <f>IF('E-Gilts'!A50&lt;'Adj-Gilts'!$B$10,1/L50," ")</f>
        <v>1.8837423786738501</v>
      </c>
      <c r="O50" s="19"/>
      <c r="P50" s="31">
        <f t="shared" si="1"/>
        <v>1.7560982416593987</v>
      </c>
      <c r="Q50" s="31">
        <f t="shared" si="2"/>
        <v>3.3080366789284414</v>
      </c>
      <c r="R50" s="31">
        <f t="shared" si="3"/>
        <v>65.675351404158448</v>
      </c>
    </row>
    <row r="51" spans="1:18" x14ac:dyDescent="0.25">
      <c r="A51" s="28">
        <f>IF('E-Gilts'!A51&lt;'Adj-Gilts'!$B$10,'E-Gilts'!B51," ")</f>
        <v>28.223932767845465</v>
      </c>
      <c r="B51" s="26">
        <f>IF('E-Gilts'!A51&lt;'Adj-Gilts'!$B$10,'E-Gilts'!A51," ")</f>
        <v>69</v>
      </c>
      <c r="C51" s="26">
        <f>IF('E-Gilts'!A51&lt;'Adj-Gilts'!$B$10,'E-Gilts'!C51," ")</f>
        <v>730.37254929461074</v>
      </c>
      <c r="D51" s="28">
        <f>IF('E-Gilts'!A51&lt;'Adj-Gilts'!$B$10,'E-Gilts'!G51," ")</f>
        <v>31.235504907779703</v>
      </c>
      <c r="E51" s="27">
        <f>IF('E-Gilts'!A51&lt;'Adj-Gilts'!$B$10,'E-Gilts'!D51," ")</f>
        <v>0.59108032928194298</v>
      </c>
      <c r="F51" s="27"/>
      <c r="G51" s="92">
        <f t="shared" si="0"/>
        <v>69</v>
      </c>
      <c r="H51" s="28">
        <f>IF('E-Gilts'!A51&lt;'Adj-Gilts'!$B$10,'E-Gilts'!I51," ")</f>
        <v>30.594989604399938</v>
      </c>
      <c r="I51" s="126">
        <f>IF('E-Gilts'!A51&lt;'Adj-Gilts'!$B$10,'E-Gilts'!A51," ")</f>
        <v>69</v>
      </c>
      <c r="J51" s="26">
        <f>IF('E-Gilts'!A51&lt;'Adj-Gilts'!$B$10,'E-Gilts'!J51," ")</f>
        <v>805.15131040488041</v>
      </c>
      <c r="K51" s="28">
        <f>IF('E-Gilts'!A51&lt;'Adj-Gilts'!$B$10,'E-Gilts'!N51," ")</f>
        <v>38.78481528557257</v>
      </c>
      <c r="L51" s="122">
        <f>IF('E-Gilts'!A51&lt;'Adj-Gilts'!$B$10,'E-Gilts'!K51," ")</f>
        <v>0.52476682488981596</v>
      </c>
      <c r="M51">
        <f>IF('E-Gilts'!A51&lt;'Adj-Gilts'!$B$10,'E-Gilts'!M51," ")</f>
        <v>1.534302993665684</v>
      </c>
      <c r="N51" s="30">
        <f>IF('E-Gilts'!A51&lt;'Adj-Gilts'!$B$10,1/L51," ")</f>
        <v>1.9056082674623489</v>
      </c>
      <c r="O51" s="19"/>
      <c r="P51" s="31">
        <f t="shared" si="1"/>
        <v>1.7750547929297849</v>
      </c>
      <c r="Q51" s="31">
        <f t="shared" si="2"/>
        <v>3.382559088605666</v>
      </c>
      <c r="R51" s="31">
        <f t="shared" si="3"/>
        <v>67.450406197088228</v>
      </c>
    </row>
    <row r="52" spans="1:18" x14ac:dyDescent="0.25">
      <c r="A52" s="28">
        <f>IF('E-Gilts'!A52&lt;'Adj-Gilts'!$B$10,'E-Gilts'!B52," ")</f>
        <v>28.961969535592822</v>
      </c>
      <c r="B52" s="26">
        <f>IF('E-Gilts'!A52&lt;'Adj-Gilts'!$B$10,'E-Gilts'!A52," ")</f>
        <v>70</v>
      </c>
      <c r="C52" s="26">
        <f>IF('E-Gilts'!A52&lt;'Adj-Gilts'!$B$10,'E-Gilts'!C52," ")</f>
        <v>738.03676774735652</v>
      </c>
      <c r="D52" s="28">
        <f>IF('E-Gilts'!A52&lt;'Adj-Gilts'!$B$10,'E-Gilts'!G52," ")</f>
        <v>32.498344480215842</v>
      </c>
      <c r="E52" s="27">
        <f>IF('E-Gilts'!A52&lt;'Adj-Gilts'!$B$10,'E-Gilts'!D52," ")</f>
        <v>0.58442638626188548</v>
      </c>
      <c r="F52" s="27"/>
      <c r="G52" s="92">
        <f t="shared" si="0"/>
        <v>70</v>
      </c>
      <c r="H52" s="28">
        <f>IF('E-Gilts'!A52&lt;'Adj-Gilts'!$B$10,'E-Gilts'!I52," ")</f>
        <v>31.40858982972696</v>
      </c>
      <c r="I52" s="126">
        <f>IF('E-Gilts'!A52&lt;'Adj-Gilts'!$B$10,'E-Gilts'!A52," ")</f>
        <v>70</v>
      </c>
      <c r="J52" s="26">
        <f>IF('E-Gilts'!A52&lt;'Adj-Gilts'!$B$10,'E-Gilts'!J52," ")</f>
        <v>813.60022532702158</v>
      </c>
      <c r="K52" s="28">
        <f>IF('E-Gilts'!A52&lt;'Adj-Gilts'!$B$10,'E-Gilts'!N52," ")</f>
        <v>40.352870602650157</v>
      </c>
      <c r="L52" s="122">
        <f>IF('E-Gilts'!A52&lt;'Adj-Gilts'!$B$10,'E-Gilts'!K52," ")</f>
        <v>0.51885939001395864</v>
      </c>
      <c r="M52">
        <f>IF('E-Gilts'!A52&lt;'Adj-Gilts'!$B$10,'E-Gilts'!M52," ")</f>
        <v>1.5680553170775875</v>
      </c>
      <c r="N52" s="30">
        <f>IF('E-Gilts'!A52&lt;'Adj-Gilts'!$B$10,1/L52," ")</f>
        <v>1.9273044282249521</v>
      </c>
      <c r="O52" s="19"/>
      <c r="P52" s="31">
        <f t="shared" si="1"/>
        <v>1.793681461897213</v>
      </c>
      <c r="Q52" s="31">
        <f t="shared" si="2"/>
        <v>3.4569702243395044</v>
      </c>
      <c r="R52" s="31">
        <f t="shared" si="3"/>
        <v>69.24408765898545</v>
      </c>
    </row>
    <row r="53" spans="1:18" x14ac:dyDescent="0.25">
      <c r="A53" s="28">
        <f>IF('E-Gilts'!A53&lt;'Adj-Gilts'!$B$10,'E-Gilts'!B53," ")</f>
        <v>29.70753402150568</v>
      </c>
      <c r="B53" s="26">
        <f>IF('E-Gilts'!A53&lt;'Adj-Gilts'!$B$10,'E-Gilts'!A53," ")</f>
        <v>71</v>
      </c>
      <c r="C53" s="26">
        <f>IF('E-Gilts'!A53&lt;'Adj-Gilts'!$B$10,'E-Gilts'!C53," ")</f>
        <v>745.56448591285834</v>
      </c>
      <c r="D53" s="28">
        <f>IF('E-Gilts'!A53&lt;'Adj-Gilts'!$B$10,'E-Gilts'!G53," ")</f>
        <v>33.788309060702922</v>
      </c>
      <c r="E53" s="27">
        <f>IF('E-Gilts'!A53&lt;'Adj-Gilts'!$B$10,'E-Gilts'!D53," ")</f>
        <v>0.57797283521640408</v>
      </c>
      <c r="F53" s="27"/>
      <c r="G53" s="92">
        <f t="shared" si="0"/>
        <v>71</v>
      </c>
      <c r="H53" s="28">
        <f>IF('E-Gilts'!A53&lt;'Adj-Gilts'!$B$10,'E-Gilts'!I53," ")</f>
        <v>32.230488494187775</v>
      </c>
      <c r="I53" s="126">
        <f>IF('E-Gilts'!A53&lt;'Adj-Gilts'!$B$10,'E-Gilts'!A53," ")</f>
        <v>71</v>
      </c>
      <c r="J53" s="26">
        <f>IF('E-Gilts'!A53&lt;'Adj-Gilts'!$B$10,'E-Gilts'!J53," ")</f>
        <v>821.89866446081169</v>
      </c>
      <c r="K53" s="28">
        <f>IF('E-Gilts'!A53&lt;'Adj-Gilts'!$B$10,'E-Gilts'!N53," ")</f>
        <v>41.954606772013683</v>
      </c>
      <c r="L53" s="122">
        <f>IF('E-Gilts'!A53&lt;'Adj-Gilts'!$B$10,'E-Gilts'!K53," ")</f>
        <v>0.51312986506848168</v>
      </c>
      <c r="M53">
        <f>IF('E-Gilts'!A53&lt;'Adj-Gilts'!$B$10,'E-Gilts'!M53," ")</f>
        <v>1.6017361693635239</v>
      </c>
      <c r="N53" s="30">
        <f>IF('E-Gilts'!A53&lt;'Adj-Gilts'!$B$10,1/L53," ")</f>
        <v>1.9488243972440411</v>
      </c>
      <c r="O53" s="19"/>
      <c r="P53" s="31">
        <f t="shared" si="1"/>
        <v>1.8119763885376019</v>
      </c>
      <c r="Q53" s="31">
        <f t="shared" si="2"/>
        <v>3.5312237932122268</v>
      </c>
      <c r="R53" s="31">
        <f t="shared" si="3"/>
        <v>71.056064047523051</v>
      </c>
    </row>
    <row r="54" spans="1:18" x14ac:dyDescent="0.25">
      <c r="A54" s="28">
        <f>IF('E-Gilts'!A54&lt;'Adj-Gilts'!$B$10,'E-Gilts'!B54," ")</f>
        <v>30.460489028462941</v>
      </c>
      <c r="B54" s="26">
        <f>IF('E-Gilts'!A54&lt;'Adj-Gilts'!$B$10,'E-Gilts'!A54," ")</f>
        <v>72</v>
      </c>
      <c r="C54" s="26">
        <f>IF('E-Gilts'!A54&lt;'Adj-Gilts'!$B$10,'E-Gilts'!C54," ")</f>
        <v>752.9550069572615</v>
      </c>
      <c r="D54" s="28">
        <f>IF('E-Gilts'!A54&lt;'Adj-Gilts'!$B$10,'E-Gilts'!G54," ")</f>
        <v>35.105324520075094</v>
      </c>
      <c r="E54" s="27">
        <f>IF('E-Gilts'!A54&lt;'Adj-Gilts'!$B$10,'E-Gilts'!D54," ")</f>
        <v>0.57171311209680109</v>
      </c>
      <c r="F54" s="27"/>
      <c r="G54" s="92">
        <f t="shared" si="0"/>
        <v>72</v>
      </c>
      <c r="H54" s="28">
        <f>IF('E-Gilts'!A54&lt;'Adj-Gilts'!$B$10,'E-Gilts'!I54," ")</f>
        <v>33.06053435381525</v>
      </c>
      <c r="I54" s="126">
        <f>IF('E-Gilts'!A54&lt;'Adj-Gilts'!$B$10,'E-Gilts'!A54," ")</f>
        <v>72</v>
      </c>
      <c r="J54" s="26">
        <f>IF('E-Gilts'!A54&lt;'Adj-Gilts'!$B$10,'E-Gilts'!J54," ")</f>
        <v>830.04585962747421</v>
      </c>
      <c r="K54" s="28">
        <f>IF('E-Gilts'!A54&lt;'Adj-Gilts'!$B$10,'E-Gilts'!N54," ")</f>
        <v>43.589931748216351</v>
      </c>
      <c r="L54" s="122">
        <f>IF('E-Gilts'!A54&lt;'Adj-Gilts'!$B$10,'E-Gilts'!K54," ")</f>
        <v>0.50757242242755674</v>
      </c>
      <c r="M54">
        <f>IF('E-Gilts'!A54&lt;'Adj-Gilts'!$B$10,'E-Gilts'!M54," ")</f>
        <v>1.6353249762026669</v>
      </c>
      <c r="N54" s="30">
        <f>IF('E-Gilts'!A54&lt;'Adj-Gilts'!$B$10,1/L54," ")</f>
        <v>1.9701621991543974</v>
      </c>
      <c r="O54" s="19"/>
      <c r="P54" s="31">
        <f t="shared" si="1"/>
        <v>1.829937879306643</v>
      </c>
      <c r="Q54" s="31">
        <f t="shared" si="2"/>
        <v>3.6052744366107103</v>
      </c>
      <c r="R54" s="31">
        <f t="shared" si="3"/>
        <v>72.886001926829707</v>
      </c>
    </row>
    <row r="55" spans="1:18" x14ac:dyDescent="0.25">
      <c r="A55" s="28">
        <f>IF('E-Gilts'!A55&lt;'Adj-Gilts'!$B$10,'E-Gilts'!B55," ")</f>
        <v>31.220696730283173</v>
      </c>
      <c r="B55" s="26">
        <f>IF('E-Gilts'!A55&lt;'Adj-Gilts'!$B$10,'E-Gilts'!A55," ")</f>
        <v>73</v>
      </c>
      <c r="C55" s="26">
        <f>IF('E-Gilts'!A55&lt;'Adj-Gilts'!$B$10,'E-Gilts'!C55," ")</f>
        <v>760.20770182023159</v>
      </c>
      <c r="D55" s="28">
        <f>IF('E-Gilts'!A55&lt;'Adj-Gilts'!$B$10,'E-Gilts'!G55," ")</f>
        <v>36.449300529807196</v>
      </c>
      <c r="E55" s="27">
        <f>IF('E-Gilts'!A55&lt;'Adj-Gilts'!$B$10,'E-Gilts'!D55," ")</f>
        <v>0.56564082715417174</v>
      </c>
      <c r="F55" s="27"/>
      <c r="G55" s="92">
        <f t="shared" si="0"/>
        <v>73</v>
      </c>
      <c r="H55" s="28">
        <f>IF('E-Gilts'!A55&lt;'Adj-Gilts'!$B$10,'E-Gilts'!I55," ")</f>
        <v>33.898575471175953</v>
      </c>
      <c r="I55" s="126">
        <f>IF('E-Gilts'!A55&lt;'Adj-Gilts'!$B$10,'E-Gilts'!A55," ")</f>
        <v>73</v>
      </c>
      <c r="J55" s="26">
        <f>IF('E-Gilts'!A55&lt;'Adj-Gilts'!$B$10,'E-Gilts'!J55," ")</f>
        <v>838.04111736070479</v>
      </c>
      <c r="K55" s="28">
        <f>IF('E-Gilts'!A55&lt;'Adj-Gilts'!$B$10,'E-Gilts'!N55," ")</f>
        <v>45.258733371228303</v>
      </c>
      <c r="L55" s="122">
        <f>IF('E-Gilts'!A55&lt;'Adj-Gilts'!$B$10,'E-Gilts'!K55," ")</f>
        <v>0.50218138921039501</v>
      </c>
      <c r="M55">
        <f>IF('E-Gilts'!A55&lt;'Adj-Gilts'!$B$10,'E-Gilts'!M55," ")</f>
        <v>1.6688016230119536</v>
      </c>
      <c r="N55" s="30">
        <f>IF('E-Gilts'!A55&lt;'Adj-Gilts'!$B$10,1/L55," ")</f>
        <v>1.9913123454701303</v>
      </c>
      <c r="O55" s="19"/>
      <c r="P55" s="31">
        <f t="shared" si="1"/>
        <v>1.8475644053728346</v>
      </c>
      <c r="Q55" s="31">
        <f t="shared" si="2"/>
        <v>3.6790778094701051</v>
      </c>
      <c r="R55" s="31">
        <f t="shared" si="3"/>
        <v>74.733566332202528</v>
      </c>
    </row>
    <row r="56" spans="1:18" x14ac:dyDescent="0.25">
      <c r="A56" s="28">
        <f>IF('E-Gilts'!A56&lt;'Adj-Gilts'!$B$10,'E-Gilts'!B56," ")</f>
        <v>31.988018738737132</v>
      </c>
      <c r="B56" s="26">
        <f>IF('E-Gilts'!A56&lt;'Adj-Gilts'!$B$10,'E-Gilts'!A56," ")</f>
        <v>74</v>
      </c>
      <c r="C56" s="26">
        <f>IF('E-Gilts'!A56&lt;'Adj-Gilts'!$B$10,'E-Gilts'!C56," ")</f>
        <v>767.32200845395937</v>
      </c>
      <c r="D56" s="28">
        <f>IF('E-Gilts'!A56&lt;'Adj-Gilts'!$B$10,'E-Gilts'!G56," ")</f>
        <v>37.820130959695028</v>
      </c>
      <c r="E56" s="27">
        <f>IF('E-Gilts'!A56&lt;'Adj-Gilts'!$B$10,'E-Gilts'!D56," ")</f>
        <v>0.5597497631539623</v>
      </c>
      <c r="F56" s="27"/>
      <c r="G56" s="92">
        <f t="shared" si="0"/>
        <v>74</v>
      </c>
      <c r="H56" s="28">
        <f>IF('E-Gilts'!A56&lt;'Adj-Gilts'!$B$10,'E-Gilts'!I56," ")</f>
        <v>34.744459289243714</v>
      </c>
      <c r="I56" s="126">
        <f>IF('E-Gilts'!A56&lt;'Adj-Gilts'!$B$10,'E-Gilts'!A56," ")</f>
        <v>74</v>
      </c>
      <c r="J56" s="26">
        <f>IF('E-Gilts'!A56&lt;'Adj-Gilts'!$B$10,'E-Gilts'!J56," ")</f>
        <v>845.88381806776204</v>
      </c>
      <c r="K56" s="28">
        <f>IF('E-Gilts'!A56&lt;'Adj-Gilts'!$B$10,'E-Gilts'!N56," ")</f>
        <v>46.960879860232211</v>
      </c>
      <c r="L56" s="122">
        <f>IF('E-Gilts'!A56&lt;'Adj-Gilts'!$B$10,'E-Gilts'!K56," ")</f>
        <v>0.49695124569611476</v>
      </c>
      <c r="M56">
        <f>IF('E-Gilts'!A56&lt;'Adj-Gilts'!$B$10,'E-Gilts'!M56," ")</f>
        <v>1.7021464890039117</v>
      </c>
      <c r="N56" s="30">
        <f>IF('E-Gilts'!A56&lt;'Adj-Gilts'!$B$10,1/L56," ")</f>
        <v>2.0122698326255914</v>
      </c>
      <c r="O56" s="19"/>
      <c r="P56" s="31">
        <f t="shared" si="1"/>
        <v>1.8648546007680022</v>
      </c>
      <c r="Q56" s="31">
        <f t="shared" si="2"/>
        <v>3.7525906553584925</v>
      </c>
      <c r="R56" s="31">
        <f t="shared" si="3"/>
        <v>76.598420932970541</v>
      </c>
    </row>
    <row r="57" spans="1:18" x14ac:dyDescent="0.25">
      <c r="A57" s="28">
        <f>IF('E-Gilts'!A57&lt;'Adj-Gilts'!$B$10,'E-Gilts'!B57," ")</f>
        <v>32.762316169765811</v>
      </c>
      <c r="B57" s="26">
        <f>IF('E-Gilts'!A57&lt;'Adj-Gilts'!$B$10,'E-Gilts'!A57," ")</f>
        <v>75</v>
      </c>
      <c r="C57" s="26">
        <f>IF('E-Gilts'!A57&lt;'Adj-Gilts'!$B$10,'E-Gilts'!C57," ")</f>
        <v>774.29743102867837</v>
      </c>
      <c r="D57" s="28">
        <f>IF('E-Gilts'!A57&lt;'Adj-Gilts'!$B$10,'E-Gilts'!G57," ")</f>
        <v>39.217694301353411</v>
      </c>
      <c r="E57" s="27">
        <f>IF('E-Gilts'!A57&lt;'Adj-Gilts'!$B$10,'E-Gilts'!D57," ")</f>
        <v>0.55403387306215124</v>
      </c>
      <c r="F57" s="27"/>
      <c r="G57" s="92">
        <f t="shared" si="0"/>
        <v>75</v>
      </c>
      <c r="H57" s="28">
        <f>IF('E-Gilts'!A57&lt;'Adj-Gilts'!$B$10,'E-Gilts'!I57," ")</f>
        <v>35.598032704397355</v>
      </c>
      <c r="I57" s="126">
        <f>IF('E-Gilts'!A57&lt;'Adj-Gilts'!$B$10,'E-Gilts'!A57," ")</f>
        <v>75</v>
      </c>
      <c r="J57" s="26">
        <f>IF('E-Gilts'!A57&lt;'Adj-Gilts'!$B$10,'E-Gilts'!J57," ")</f>
        <v>853.57341515364237</v>
      </c>
      <c r="K57" s="28">
        <f>IF('E-Gilts'!A57&lt;'Adj-Gilts'!$B$10,'E-Gilts'!N57," ")</f>
        <v>48.696220339476639</v>
      </c>
      <c r="L57" s="122">
        <f>IF('E-Gilts'!A57&lt;'Adj-Gilts'!$B$10,'E-Gilts'!K57," ")</f>
        <v>0.49187662326951037</v>
      </c>
      <c r="M57">
        <f>IF('E-Gilts'!A57&lt;'Adj-Gilts'!$B$10,'E-Gilts'!M57," ")</f>
        <v>1.7353404792444265</v>
      </c>
      <c r="N57" s="30">
        <f>IF('E-Gilts'!A57&lt;'Adj-Gilts'!$B$10,1/L57," ")</f>
        <v>2.033030139454457</v>
      </c>
      <c r="O57" s="19"/>
      <c r="P57" s="31">
        <f t="shared" si="1"/>
        <v>1.8818072604564366</v>
      </c>
      <c r="Q57" s="31">
        <f t="shared" si="2"/>
        <v>3.8257708771521588</v>
      </c>
      <c r="R57" s="31">
        <f t="shared" si="3"/>
        <v>78.480228193426953</v>
      </c>
    </row>
    <row r="58" spans="1:18" x14ac:dyDescent="0.25">
      <c r="A58" s="28">
        <f>IF('E-Gilts'!A58&lt;'Adj-Gilts'!$B$10,'E-Gilts'!B58," ")</f>
        <v>33.543449708871115</v>
      </c>
      <c r="B58" s="26">
        <f>IF('E-Gilts'!A58&lt;'Adj-Gilts'!$B$10,'E-Gilts'!A58," ")</f>
        <v>76</v>
      </c>
      <c r="C58" s="26">
        <f>IF('E-Gilts'!A58&lt;'Adj-Gilts'!$B$10,'E-Gilts'!C58," ")</f>
        <v>781.13353910530486</v>
      </c>
      <c r="D58" s="28">
        <f>IF('E-Gilts'!A58&lt;'Adj-Gilts'!$B$10,'E-Gilts'!G58," ")</f>
        <v>40.64185411584122</v>
      </c>
      <c r="E58" s="27">
        <f>IF('E-Gilts'!A58&lt;'Adj-Gilts'!$B$10,'E-Gilts'!D58," ")</f>
        <v>0.54848727731180569</v>
      </c>
      <c r="F58" s="27"/>
      <c r="G58" s="92">
        <f t="shared" si="0"/>
        <v>76</v>
      </c>
      <c r="H58" s="28">
        <f>IF('E-Gilts'!A58&lt;'Adj-Gilts'!$B$10,'E-Gilts'!I58," ")</f>
        <v>36.459142138506365</v>
      </c>
      <c r="I58" s="126">
        <f>IF('E-Gilts'!A58&lt;'Adj-Gilts'!$B$10,'E-Gilts'!A58," ")</f>
        <v>76</v>
      </c>
      <c r="J58" s="26">
        <f>IF('E-Gilts'!A58&lt;'Adj-Gilts'!$B$10,'E-Gilts'!J58," ")</f>
        <v>861.10943410901109</v>
      </c>
      <c r="K58" s="28">
        <f>IF('E-Gilts'!A58&lt;'Adj-Gilts'!$B$10,'E-Gilts'!N58," ")</f>
        <v>50.464585394087543</v>
      </c>
      <c r="L58" s="122">
        <f>IF('E-Gilts'!A58&lt;'Adj-Gilts'!$B$10,'E-Gilts'!K58," ")</f>
        <v>0.48695230199427508</v>
      </c>
      <c r="M58">
        <f>IF('E-Gilts'!A58&lt;'Adj-Gilts'!$B$10,'E-Gilts'!M58," ")</f>
        <v>1.7683650546109029</v>
      </c>
      <c r="N58" s="30">
        <f>IF('E-Gilts'!A58&lt;'Adj-Gilts'!$B$10,1/L58," ")</f>
        <v>2.0535892240463349</v>
      </c>
      <c r="O58" s="19"/>
      <c r="P58" s="31">
        <f t="shared" si="1"/>
        <v>1.8984213383241235</v>
      </c>
      <c r="Q58" s="31">
        <f t="shared" si="2"/>
        <v>3.898577603082042</v>
      </c>
      <c r="R58" s="31">
        <f t="shared" si="3"/>
        <v>80.37864953175108</v>
      </c>
    </row>
    <row r="59" spans="1:18" x14ac:dyDescent="0.25">
      <c r="A59" s="28">
        <f>IF('E-Gilts'!A59&lt;'Adj-Gilts'!$B$10,'E-Gilts'!B59," ")</f>
        <v>34.331279675647657</v>
      </c>
      <c r="B59" s="26">
        <f>IF('E-Gilts'!A59&lt;'Adj-Gilts'!$B$10,'E-Gilts'!A59," ")</f>
        <v>77</v>
      </c>
      <c r="C59" s="26">
        <f>IF('E-Gilts'!A59&lt;'Adj-Gilts'!$B$10,'E-Gilts'!C59," ")</f>
        <v>787.82996677654182</v>
      </c>
      <c r="D59" s="28">
        <f>IF('E-Gilts'!A59&lt;'Adj-Gilts'!$B$10,'E-Gilts'!G59," ")</f>
        <v>42.092459503652528</v>
      </c>
      <c r="E59" s="27">
        <f>IF('E-Gilts'!A59&lt;'Adj-Gilts'!$B$10,'E-Gilts'!D59," ")</f>
        <v>0.54310426074263352</v>
      </c>
      <c r="F59" s="27"/>
      <c r="G59" s="92">
        <f t="shared" si="0"/>
        <v>77</v>
      </c>
      <c r="H59" s="28">
        <f>IF('E-Gilts'!A59&lt;'Adj-Gilts'!$B$10,'E-Gilts'!I59," ")</f>
        <v>37.327633610069732</v>
      </c>
      <c r="I59" s="126">
        <f>IF('E-Gilts'!A59&lt;'Adj-Gilts'!$B$10,'E-Gilts'!A59," ")</f>
        <v>77</v>
      </c>
      <c r="J59" s="26">
        <f>IF('E-Gilts'!A59&lt;'Adj-Gilts'!$B$10,'E-Gilts'!J59," ")</f>
        <v>868.49147156336937</v>
      </c>
      <c r="K59" s="28">
        <f>IF('E-Gilts'!A59&lt;'Adj-Gilts'!$B$10,'E-Gilts'!N59," ")</f>
        <v>52.265787653651628</v>
      </c>
      <c r="L59" s="122">
        <f>IF('E-Gilts'!A59&lt;'Adj-Gilts'!$B$10,'E-Gilts'!K59," ")</f>
        <v>0.48217320789590534</v>
      </c>
      <c r="M59">
        <f>IF('E-Gilts'!A59&lt;'Adj-Gilts'!$B$10,'E-Gilts'!M59," ")</f>
        <v>1.8012022595640877</v>
      </c>
      <c r="N59" s="30">
        <f>IF('E-Gilts'!A59&lt;'Adj-Gilts'!$B$10,1/L59," ")</f>
        <v>2.0739435199308844</v>
      </c>
      <c r="O59" s="19"/>
      <c r="P59" s="31">
        <f t="shared" si="1"/>
        <v>1.9146959450913368</v>
      </c>
      <c r="Q59" s="31">
        <f t="shared" si="2"/>
        <v>3.9709712479601178</v>
      </c>
      <c r="R59" s="31">
        <f t="shared" si="3"/>
        <v>82.293345476842418</v>
      </c>
    </row>
    <row r="60" spans="1:18" x14ac:dyDescent="0.25">
      <c r="A60" s="28">
        <f>IF('E-Gilts'!A60&lt;'Adj-Gilts'!$B$10,'E-Gilts'!B60," ")</f>
        <v>35.125666087424563</v>
      </c>
      <c r="B60" s="26">
        <f>IF('E-Gilts'!A60&lt;'Adj-Gilts'!$B$10,'E-Gilts'!A60," ")</f>
        <v>78</v>
      </c>
      <c r="C60" s="26">
        <f>IF('E-Gilts'!A60&lt;'Adj-Gilts'!$B$10,'E-Gilts'!C60," ")</f>
        <v>794.38641177690533</v>
      </c>
      <c r="D60" s="28">
        <f>IF('E-Gilts'!A60&lt;'Adj-Gilts'!$B$10,'E-Gilts'!G60," ")</f>
        <v>43.569345595254411</v>
      </c>
      <c r="E60" s="27">
        <f>IF('E-Gilts'!A60&lt;'Adj-Gilts'!$B$10,'E-Gilts'!D60," ")</f>
        <v>0.53787926929102925</v>
      </c>
      <c r="F60" s="27"/>
      <c r="G60" s="92">
        <f t="shared" si="0"/>
        <v>78</v>
      </c>
      <c r="H60" s="28">
        <f>IF('E-Gilts'!A60&lt;'Adj-Gilts'!$B$10,'E-Gilts'!I60," ")</f>
        <v>38.203352804373694</v>
      </c>
      <c r="I60" s="126">
        <f>IF('E-Gilts'!A60&lt;'Adj-Gilts'!$B$10,'E-Gilts'!A60," ")</f>
        <v>78</v>
      </c>
      <c r="J60" s="26">
        <f>IF('E-Gilts'!A60&lt;'Adj-Gilts'!$B$10,'E-Gilts'!J60," ")</f>
        <v>875.71919430396053</v>
      </c>
      <c r="K60" s="28">
        <f>IF('E-Gilts'!A60&lt;'Adj-Gilts'!$B$10,'E-Gilts'!N60," ")</f>
        <v>54.099622401312246</v>
      </c>
      <c r="L60" s="122">
        <f>IF('E-Gilts'!A60&lt;'Adj-Gilts'!$B$10,'E-Gilts'!K60," ")</f>
        <v>0.47753441002309216</v>
      </c>
      <c r="M60">
        <f>IF('E-Gilts'!A60&lt;'Adj-Gilts'!$B$10,'E-Gilts'!M60," ")</f>
        <v>1.8338347476606205</v>
      </c>
      <c r="N60" s="30">
        <f>IF('E-Gilts'!A60&lt;'Adj-Gilts'!$B$10,1/L60," ")</f>
        <v>2.0940899315541324</v>
      </c>
      <c r="O60" s="19"/>
      <c r="P60" s="31">
        <f t="shared" si="1"/>
        <v>1.930630346149695</v>
      </c>
      <c r="Q60" s="31">
        <f t="shared" si="2"/>
        <v>4.042913569424945</v>
      </c>
      <c r="R60" s="31">
        <f t="shared" si="3"/>
        <v>84.223975822992116</v>
      </c>
    </row>
    <row r="61" spans="1:18" x14ac:dyDescent="0.25">
      <c r="A61" s="28">
        <f>IF('E-Gilts'!A61&lt;'Adj-Gilts'!$B$10,'E-Gilts'!B61," ")</f>
        <v>35.926468721988002</v>
      </c>
      <c r="B61" s="26">
        <f>IF('E-Gilts'!A61&lt;'Adj-Gilts'!$B$10,'E-Gilts'!A61," ")</f>
        <v>79</v>
      </c>
      <c r="C61" s="26">
        <f>IF('E-Gilts'!A61&lt;'Adj-Gilts'!$B$10,'E-Gilts'!C61," ")</f>
        <v>800.80263456343914</v>
      </c>
      <c r="D61" s="28">
        <f>IF('E-Gilts'!A61&lt;'Adj-Gilts'!$B$10,'E-Gilts'!G61," ")</f>
        <v>45.072334060304506</v>
      </c>
      <c r="E61" s="27">
        <f>IF('E-Gilts'!A61&lt;'Adj-Gilts'!$B$10,'E-Gilts'!D61," ")</f>
        <v>0.53280690649661633</v>
      </c>
      <c r="F61" s="27"/>
      <c r="G61" s="92">
        <f t="shared" si="0"/>
        <v>79</v>
      </c>
      <c r="H61" s="28">
        <f>IF('E-Gilts'!A61&lt;'Adj-Gilts'!$B$10,'E-Gilts'!I61," ")</f>
        <v>39.086145142636056</v>
      </c>
      <c r="I61" s="126">
        <f>IF('E-Gilts'!A61&lt;'Adj-Gilts'!$B$10,'E-Gilts'!A61," ")</f>
        <v>79</v>
      </c>
      <c r="J61" s="26">
        <f>IF('E-Gilts'!A61&lt;'Adj-Gilts'!$B$10,'E-Gilts'!J61," ")</f>
        <v>882.79233826236464</v>
      </c>
      <c r="K61" s="28">
        <f>IF('E-Gilts'!A61&lt;'Adj-Gilts'!$B$10,'E-Gilts'!N61," ")</f>
        <v>55.96586820605976</v>
      </c>
      <c r="L61" s="122">
        <f>IF('E-Gilts'!A61&lt;'Adj-Gilts'!$B$10,'E-Gilts'!K61," ")</f>
        <v>0.47303111734619507</v>
      </c>
      <c r="M61">
        <f>IF('E-Gilts'!A61&lt;'Adj-Gilts'!$B$10,'E-Gilts'!M61," ")</f>
        <v>1.8662458047475119</v>
      </c>
      <c r="N61" s="30">
        <f>IF('E-Gilts'!A61&lt;'Adj-Gilts'!$B$10,1/L61," ")</f>
        <v>2.1140258290199005</v>
      </c>
      <c r="O61" s="19"/>
      <c r="P61" s="31">
        <f t="shared" si="1"/>
        <v>1.9462239593279855</v>
      </c>
      <c r="Q61" s="31">
        <f t="shared" si="2"/>
        <v>4.1143677190767383</v>
      </c>
      <c r="R61" s="31">
        <f t="shared" si="3"/>
        <v>86.170199782320083</v>
      </c>
    </row>
    <row r="62" spans="1:18" x14ac:dyDescent="0.25">
      <c r="A62" s="28">
        <f>IF('E-Gilts'!A62&lt;'Adj-Gilts'!$B$10,'E-Gilts'!B62," ")</f>
        <v>36.733547179355277</v>
      </c>
      <c r="B62" s="26">
        <f>IF('E-Gilts'!A62&lt;'Adj-Gilts'!$B$10,'E-Gilts'!A62," ")</f>
        <v>80</v>
      </c>
      <c r="C62" s="26">
        <f>IF('E-Gilts'!A62&lt;'Adj-Gilts'!$B$10,'E-Gilts'!C62," ")</f>
        <v>807.0784573672754</v>
      </c>
      <c r="D62" s="28">
        <f>IF('E-Gilts'!A62&lt;'Adj-Gilts'!$B$10,'E-Gilts'!G62," ")</f>
        <v>46.601233633643751</v>
      </c>
      <c r="E62" s="27">
        <f>IF('E-Gilts'!A62&lt;'Adj-Gilts'!$B$10,'E-Gilts'!D62," ")</f>
        <v>0.52788192988016081</v>
      </c>
      <c r="F62" s="27"/>
      <c r="G62" s="92">
        <f t="shared" si="0"/>
        <v>80</v>
      </c>
      <c r="H62" s="28">
        <f>IF('E-Gilts'!A62&lt;'Adj-Gilts'!$B$10,'E-Gilts'!I62," ")</f>
        <v>39.975855850105006</v>
      </c>
      <c r="I62" s="126">
        <f>IF('E-Gilts'!A62&lt;'Adj-Gilts'!$B$10,'E-Gilts'!A62," ")</f>
        <v>80</v>
      </c>
      <c r="J62" s="26">
        <f>IF('E-Gilts'!A62&lt;'Adj-Gilts'!$B$10,'E-Gilts'!J62," ")</f>
        <v>889.7107074689535</v>
      </c>
      <c r="K62" s="28">
        <f>IF('E-Gilts'!A62&lt;'Adj-Gilts'!$B$10,'E-Gilts'!N62," ")</f>
        <v>57.864287575851478</v>
      </c>
      <c r="L62" s="122">
        <f>IF('E-Gilts'!A62&lt;'Adj-Gilts'!$B$10,'E-Gilts'!K62," ")</f>
        <v>0.46865867554151919</v>
      </c>
      <c r="M62">
        <f>IF('E-Gilts'!A62&lt;'Adj-Gilts'!$B$10,'E-Gilts'!M62," ")</f>
        <v>1.8984193697917211</v>
      </c>
      <c r="N62" s="30">
        <f>IF('E-Gilts'!A62&lt;'Adj-Gilts'!$B$10,1/L62," ")</f>
        <v>2.1337490420817109</v>
      </c>
      <c r="O62" s="19"/>
      <c r="P62" s="31">
        <f t="shared" si="1"/>
        <v>1.9614763525871335</v>
      </c>
      <c r="Q62" s="31">
        <f t="shared" si="2"/>
        <v>4.1852982883987249</v>
      </c>
      <c r="R62" s="31">
        <f t="shared" si="3"/>
        <v>88.13167613490721</v>
      </c>
    </row>
    <row r="63" spans="1:18" x14ac:dyDescent="0.25">
      <c r="A63" s="28">
        <f>IF('E-Gilts'!A63&lt;'Adj-Gilts'!$B$10,'E-Gilts'!B63," ")</f>
        <v>37.546760942573542</v>
      </c>
      <c r="B63" s="26">
        <f>IF('E-Gilts'!A63&lt;'Adj-Gilts'!$B$10,'E-Gilts'!A63," ")</f>
        <v>81</v>
      </c>
      <c r="C63" s="26">
        <f>IF('E-Gilts'!A63&lt;'Adj-Gilts'!$B$10,'E-Gilts'!C63," ")</f>
        <v>813.21376321826483</v>
      </c>
      <c r="D63" s="28">
        <f>IF('E-Gilts'!A63&lt;'Adj-Gilts'!$B$10,'E-Gilts'!G63," ")</f>
        <v>48.155840656135616</v>
      </c>
      <c r="E63" s="27">
        <f>IF('E-Gilts'!A63&lt;'Adj-Gilts'!$B$10,'E-Gilts'!D63," ")</f>
        <v>0.52309924723919776</v>
      </c>
      <c r="F63" s="27"/>
      <c r="G63" s="92">
        <f t="shared" si="0"/>
        <v>81</v>
      </c>
      <c r="H63" s="28">
        <f>IF('E-Gilts'!A63&lt;'Adj-Gilts'!$B$10,'E-Gilts'!I63," ")</f>
        <v>40.872330023082661</v>
      </c>
      <c r="I63" s="126">
        <f>IF('E-Gilts'!A63&lt;'Adj-Gilts'!$B$10,'E-Gilts'!A63," ")</f>
        <v>81</v>
      </c>
      <c r="J63" s="26">
        <f>IF('E-Gilts'!A63&lt;'Adj-Gilts'!$B$10,'E-Gilts'!J63," ")</f>
        <v>896.47417297765821</v>
      </c>
      <c r="K63" s="28">
        <f>IF('E-Gilts'!A63&lt;'Adj-Gilts'!$B$10,'E-Gilts'!N63," ")</f>
        <v>59.794627629166364</v>
      </c>
      <c r="L63" s="122">
        <f>IF('E-Gilts'!A63&lt;'Adj-Gilts'!$B$10,'E-Gilts'!K63," ")</f>
        <v>0.46441256370253653</v>
      </c>
      <c r="M63">
        <f>IF('E-Gilts'!A63&lt;'Adj-Gilts'!$B$10,'E-Gilts'!M63," ")</f>
        <v>1.930340053314888</v>
      </c>
      <c r="N63" s="30">
        <f>IF('E-Gilts'!A63&lt;'Adj-Gilts'!$B$10,1/L63," ")</f>
        <v>2.153257853378221</v>
      </c>
      <c r="O63" s="19"/>
      <c r="P63" s="31">
        <f t="shared" si="1"/>
        <v>1.9763872416497177</v>
      </c>
      <c r="Q63" s="31">
        <f t="shared" si="2"/>
        <v>4.2556713493987735</v>
      </c>
      <c r="R63" s="31">
        <f t="shared" si="3"/>
        <v>90.108063376556927</v>
      </c>
    </row>
    <row r="64" spans="1:18" x14ac:dyDescent="0.25">
      <c r="A64" s="28">
        <f>IF('E-Gilts'!A64&lt;'Adj-Gilts'!$B$10,'E-Gilts'!B64," ")</f>
        <v>38.365969437516476</v>
      </c>
      <c r="B64" s="26">
        <f>IF('E-Gilts'!A64&lt;'Adj-Gilts'!$B$10,'E-Gilts'!A64," ")</f>
        <v>82</v>
      </c>
      <c r="C64" s="26">
        <f>IF('E-Gilts'!A64&lt;'Adj-Gilts'!$B$10,'E-Gilts'!C64," ")</f>
        <v>819.20849494293429</v>
      </c>
      <c r="D64" s="28">
        <f>IF('E-Gilts'!A64&lt;'Adj-Gilts'!$B$10,'E-Gilts'!G64," ")</f>
        <v>49.735939628406591</v>
      </c>
      <c r="E64" s="27">
        <f>IF('E-Gilts'!A64&lt;'Adj-Gilts'!$B$10,'E-Gilts'!D64," ")</f>
        <v>0.51845391289985943</v>
      </c>
      <c r="F64" s="27"/>
      <c r="G64" s="92">
        <f t="shared" si="0"/>
        <v>82</v>
      </c>
      <c r="H64" s="28">
        <f>IF('E-Gilts'!A64&lt;'Adj-Gilts'!$B$10,'E-Gilts'!I64," ")</f>
        <v>41.775412694843993</v>
      </c>
      <c r="I64" s="126">
        <f>IF('E-Gilts'!A64&lt;'Adj-Gilts'!$B$10,'E-Gilts'!A64," ")</f>
        <v>82</v>
      </c>
      <c r="J64" s="26">
        <f>IF('E-Gilts'!A64&lt;'Adj-Gilts'!$B$10,'E-Gilts'!J64," ")</f>
        <v>903.08267176133359</v>
      </c>
      <c r="K64" s="28">
        <f>IF('E-Gilts'!A64&lt;'Adj-Gilts'!$B$10,'E-Gilts'!N64," ")</f>
        <v>61.756620782579077</v>
      </c>
      <c r="L64" s="122">
        <f>IF('E-Gilts'!A64&lt;'Adj-Gilts'!$B$10,'E-Gilts'!K64," ")</f>
        <v>0.46028839101222285</v>
      </c>
      <c r="M64">
        <f>IF('E-Gilts'!A64&lt;'Adj-Gilts'!$B$10,'E-Gilts'!M64," ")</f>
        <v>1.96199315341271</v>
      </c>
      <c r="N64" s="30">
        <f>IF('E-Gilts'!A64&lt;'Adj-Gilts'!$B$10,1/L64," ")</f>
        <v>2.172550990914401</v>
      </c>
      <c r="O64" s="19"/>
      <c r="P64" s="31">
        <f t="shared" si="1"/>
        <v>1.9909564875646686</v>
      </c>
      <c r="Q64" s="31">
        <f t="shared" si="2"/>
        <v>4.3254544899260754</v>
      </c>
      <c r="R64" s="31">
        <f t="shared" si="3"/>
        <v>92.099019864121601</v>
      </c>
    </row>
    <row r="65" spans="1:18" x14ac:dyDescent="0.25">
      <c r="A65" s="28">
        <f>IF('E-Gilts'!A65&lt;'Adj-Gilts'!$B$10,'E-Gilts'!B65," ")</f>
        <v>39.191032091654229</v>
      </c>
      <c r="B65" s="26">
        <f>IF('E-Gilts'!A65&lt;'Adj-Gilts'!$B$10,'E-Gilts'!A65," ")</f>
        <v>83</v>
      </c>
      <c r="C65" s="26">
        <f>IF('E-Gilts'!A65&lt;'Adj-Gilts'!$B$10,'E-Gilts'!C65," ")</f>
        <v>825.06265413775282</v>
      </c>
      <c r="D65" s="28">
        <f>IF('E-Gilts'!A65&lt;'Adj-Gilts'!$B$10,'E-Gilts'!G65," ")</f>
        <v>51.341303775540155</v>
      </c>
      <c r="E65" s="27">
        <f>IF('E-Gilts'!A65&lt;'Adj-Gilts'!$B$10,'E-Gilts'!D65," ")</f>
        <v>0.51394112395678737</v>
      </c>
      <c r="F65" s="27"/>
      <c r="G65" s="92">
        <f t="shared" si="0"/>
        <v>83</v>
      </c>
      <c r="H65" s="28">
        <f>IF('E-Gilts'!A65&lt;'Adj-Gilts'!$B$10,'E-Gilts'!I65," ")</f>
        <v>42.684948900423898</v>
      </c>
      <c r="I65" s="126">
        <f>IF('E-Gilts'!A65&lt;'Adj-Gilts'!$B$10,'E-Gilts'!A65," ")</f>
        <v>83</v>
      </c>
      <c r="J65" s="26">
        <f>IF('E-Gilts'!A65&lt;'Adj-Gilts'!$B$10,'E-Gilts'!J65," ")</f>
        <v>909.53620557990212</v>
      </c>
      <c r="K65" s="28">
        <f>IF('E-Gilts'!A65&lt;'Adj-Gilts'!$B$10,'E-Gilts'!N65," ")</f>
        <v>63.749985451934819</v>
      </c>
      <c r="L65" s="122">
        <f>IF('E-Gilts'!A65&lt;'Adj-Gilts'!$B$10,'E-Gilts'!K65," ")</f>
        <v>0.45628189340481529</v>
      </c>
      <c r="M65">
        <f>IF('E-Gilts'!A65&lt;'Adj-Gilts'!$B$10,'E-Gilts'!M65," ")</f>
        <v>1.9933646693557432</v>
      </c>
      <c r="N65" s="30">
        <f>IF('E-Gilts'!A65&lt;'Adj-Gilts'!$B$10,1/L65," ")</f>
        <v>2.1916276197986133</v>
      </c>
      <c r="O65" s="19"/>
      <c r="P65" s="31">
        <f t="shared" si="1"/>
        <v>2.005184094211951</v>
      </c>
      <c r="Q65" s="31">
        <f t="shared" si="2"/>
        <v>4.3946168436557764</v>
      </c>
      <c r="R65" s="31">
        <f t="shared" si="3"/>
        <v>94.104203958333542</v>
      </c>
    </row>
    <row r="66" spans="1:18" x14ac:dyDescent="0.25">
      <c r="A66" s="28">
        <f>IF('E-Gilts'!A66&lt;'Adj-Gilts'!$B$10,'E-Gilts'!B66," ")</f>
        <v>40.021808391772794</v>
      </c>
      <c r="B66" s="26">
        <f>IF('E-Gilts'!A66&lt;'Adj-Gilts'!$B$10,'E-Gilts'!A66," ")</f>
        <v>84</v>
      </c>
      <c r="C66" s="26">
        <f>IF('E-Gilts'!A66&lt;'Adj-Gilts'!$B$10,'E-Gilts'!C66," ")</f>
        <v>830.7763001185649</v>
      </c>
      <c r="D66" s="28">
        <f>IF('E-Gilts'!A66&lt;'Adj-Gilts'!$B$10,'E-Gilts'!G66," ")</f>
        <v>52.971695620781595</v>
      </c>
      <c r="E66" s="27">
        <f>IF('E-Gilts'!A66&lt;'Adj-Gilts'!$B$10,'E-Gilts'!D66," ")</f>
        <v>0.50955621652752947</v>
      </c>
      <c r="F66" s="27"/>
      <c r="G66" s="92">
        <f t="shared" si="0"/>
        <v>84</v>
      </c>
      <c r="H66" s="28">
        <f>IF('E-Gilts'!A66&lt;'Adj-Gilts'!$B$10,'E-Gilts'!I66," ")</f>
        <v>43.600783740246122</v>
      </c>
      <c r="I66" s="126">
        <f>IF('E-Gilts'!A66&lt;'Adj-Gilts'!$B$10,'E-Gilts'!A66," ")</f>
        <v>84</v>
      </c>
      <c r="J66" s="26">
        <f>IF('E-Gilts'!A66&lt;'Adj-Gilts'!$B$10,'E-Gilts'!J66," ")</f>
        <v>915.83483982222606</v>
      </c>
      <c r="K66" s="28">
        <f>IF('E-Gilts'!A66&lt;'Adj-Gilts'!$B$10,'E-Gilts'!N66," ")</f>
        <v>65.774426764712942</v>
      </c>
      <c r="L66" s="122">
        <f>IF('E-Gilts'!A66&lt;'Adj-Gilts'!$B$10,'E-Gilts'!K66," ")</f>
        <v>0.45238893024042981</v>
      </c>
      <c r="M66">
        <f>IF('E-Gilts'!A66&lt;'Adj-Gilts'!$B$10,'E-Gilts'!M66," ")</f>
        <v>2.024441312778122</v>
      </c>
      <c r="N66" s="30">
        <f>IF('E-Gilts'!A66&lt;'Adj-Gilts'!$B$10,1/L66," ")</f>
        <v>2.210487333252237</v>
      </c>
      <c r="O66" s="19"/>
      <c r="P66" s="31">
        <f t="shared" si="1"/>
        <v>2.0190702057493297</v>
      </c>
      <c r="Q66" s="31">
        <f t="shared" si="2"/>
        <v>4.4631291147558807</v>
      </c>
      <c r="R66" s="31">
        <f t="shared" si="3"/>
        <v>96.123274164082886</v>
      </c>
    </row>
    <row r="67" spans="1:18" x14ac:dyDescent="0.25">
      <c r="A67" s="28">
        <f>IF('E-Gilts'!A67&lt;'Adj-Gilts'!$B$10,'E-Gilts'!B67," ")</f>
        <v>40.85815794062048</v>
      </c>
      <c r="B67" s="26">
        <f>IF('E-Gilts'!A67&lt;'Adj-Gilts'!$B$10,'E-Gilts'!A67," ")</f>
        <v>85</v>
      </c>
      <c r="C67" s="26">
        <f>IF('E-Gilts'!A67&lt;'Adj-Gilts'!$B$10,'E-Gilts'!C67," ")</f>
        <v>836.34954884768581</v>
      </c>
      <c r="D67" s="28">
        <f>IF('E-Gilts'!A67&lt;'Adj-Gilts'!$B$10,'E-Gilts'!G67," ")</f>
        <v>54.625653346455913</v>
      </c>
      <c r="E67" s="27">
        <f>IF('E-Gilts'!A67&lt;'Adj-Gilts'!$B$10,'E-Gilts'!D67," ")</f>
        <v>0.50566561397856047</v>
      </c>
      <c r="F67" s="27"/>
      <c r="G67" s="92">
        <f t="shared" si="0"/>
        <v>85</v>
      </c>
      <c r="H67" s="28">
        <f>IF('E-Gilts'!A67&lt;'Adj-Gilts'!$B$10,'E-Gilts'!I67," ")</f>
        <v>44.522762442569473</v>
      </c>
      <c r="I67" s="126">
        <f>IF('E-Gilts'!A67&lt;'Adj-Gilts'!$B$10,'E-Gilts'!A67," ")</f>
        <v>85</v>
      </c>
      <c r="J67" s="26">
        <f>IF('E-Gilts'!A67&lt;'Adj-Gilts'!$B$10,'E-Gilts'!J67," ")</f>
        <v>921.97870232335356</v>
      </c>
      <c r="K67" s="28">
        <f>IF('E-Gilts'!A67&lt;'Adj-Gilts'!$B$10,'E-Gilts'!N67," ")</f>
        <v>67.828129596468571</v>
      </c>
      <c r="L67" s="122">
        <f>IF('E-Gilts'!A67&lt;'Adj-Gilts'!$B$10,'E-Gilts'!K67," ")</f>
        <v>0.44893481572267729</v>
      </c>
      <c r="M67">
        <f>IF('E-Gilts'!A67&lt;'Adj-Gilts'!$B$10,'E-Gilts'!M67," ")</f>
        <v>2.0537028317556283</v>
      </c>
      <c r="N67" s="30">
        <f>IF('E-Gilts'!A67&lt;'Adj-Gilts'!$B$10,1/L67," ")</f>
        <v>2.2274948722572119</v>
      </c>
      <c r="O67" s="19"/>
      <c r="P67" s="31">
        <f t="shared" si="1"/>
        <v>2.0326151040048437</v>
      </c>
      <c r="Q67" s="31">
        <f t="shared" si="2"/>
        <v>4.5276397214433484</v>
      </c>
      <c r="R67" s="31">
        <f t="shared" si="3"/>
        <v>98.155889268087719</v>
      </c>
    </row>
    <row r="68" spans="1:18" x14ac:dyDescent="0.25">
      <c r="A68" s="28">
        <f>IF('E-Gilts'!A68&lt;'Adj-Gilts'!$B$10,'E-Gilts'!B68," ")</f>
        <v>41.699940512460387</v>
      </c>
      <c r="B68" s="26">
        <f>IF('E-Gilts'!A68&lt;'Adj-Gilts'!$B$10,'E-Gilts'!A68," ")</f>
        <v>86</v>
      </c>
      <c r="C68" s="26">
        <f>IF('E-Gilts'!A68&lt;'Adj-Gilts'!$B$10,'E-Gilts'!C68," ")</f>
        <v>841.78257183990718</v>
      </c>
      <c r="D68" s="28">
        <f>IF('E-Gilts'!A68&lt;'Adj-Gilts'!$B$10,'E-Gilts'!G68," ")</f>
        <v>56.299877225345583</v>
      </c>
      <c r="E68" s="27">
        <f>IF('E-Gilts'!A68&lt;'Adj-Gilts'!$B$10,'E-Gilts'!D68," ")</f>
        <v>0.50278972988855597</v>
      </c>
      <c r="F68" s="27"/>
      <c r="G68" s="92">
        <f t="shared" ref="G68:G131" si="4">IFERROR(I68,"")</f>
        <v>86</v>
      </c>
      <c r="H68" s="28">
        <f>IF('E-Gilts'!A68&lt;'Adj-Gilts'!$B$10,'E-Gilts'!I68," ")</f>
        <v>45.450730424727986</v>
      </c>
      <c r="I68" s="126">
        <f>IF('E-Gilts'!A68&lt;'Adj-Gilts'!$B$10,'E-Gilts'!A68," ")</f>
        <v>86</v>
      </c>
      <c r="J68" s="26">
        <f>IF('E-Gilts'!A68&lt;'Adj-Gilts'!$B$10,'E-Gilts'!J68," ")</f>
        <v>927.96798215851663</v>
      </c>
      <c r="K68" s="28">
        <f>IF('E-Gilts'!A68&lt;'Adj-Gilts'!$B$10,'E-Gilts'!N68," ")</f>
        <v>69.906996708786565</v>
      </c>
      <c r="L68" s="122">
        <f>IF('E-Gilts'!A68&lt;'Adj-Gilts'!$B$10,'E-Gilts'!K68," ")</f>
        <v>0.44638157805277184</v>
      </c>
      <c r="M68">
        <f>IF('E-Gilts'!A68&lt;'Adj-Gilts'!$B$10,'E-Gilts'!M68," ")</f>
        <v>2.0788671123179974</v>
      </c>
      <c r="N68" s="30">
        <f>IF('E-Gilts'!A68&lt;'Adj-Gilts'!$B$10,1/L68," ")</f>
        <v>2.2402358187859148</v>
      </c>
      <c r="O68" s="19"/>
      <c r="P68" s="31">
        <f t="shared" si="1"/>
        <v>2.0458192058180269</v>
      </c>
      <c r="Q68" s="31">
        <f t="shared" si="2"/>
        <v>4.5831174636336964</v>
      </c>
      <c r="R68" s="31">
        <f t="shared" si="3"/>
        <v>100.20170847390574</v>
      </c>
    </row>
    <row r="69" spans="1:18" x14ac:dyDescent="0.25">
      <c r="A69" s="28">
        <f>IF('E-Gilts'!A69&lt;'Adj-Gilts'!$B$10,'E-Gilts'!B69," ")</f>
        <v>42.547016107509243</v>
      </c>
      <c r="B69" s="26">
        <f>IF('E-Gilts'!A69&lt;'Adj-Gilts'!$B$10,'E-Gilts'!A69," ")</f>
        <v>87</v>
      </c>
      <c r="C69" s="26">
        <f>IF('E-Gilts'!A69&lt;'Adj-Gilts'!$B$10,'E-Gilts'!C69," ")</f>
        <v>847.07559504885671</v>
      </c>
      <c r="D69" s="28">
        <f>IF('E-Gilts'!A69&lt;'Adj-Gilts'!$B$10,'E-Gilts'!G69," ")</f>
        <v>57.99417051902428</v>
      </c>
      <c r="E69" s="27">
        <f>IF('E-Gilts'!A69&lt;'Adj-Gilts'!$B$10,'E-Gilts'!D69," ")</f>
        <v>0.49995806405493187</v>
      </c>
      <c r="F69" s="27"/>
      <c r="G69" s="92">
        <f t="shared" si="4"/>
        <v>87</v>
      </c>
      <c r="H69" s="28">
        <f>IF('E-Gilts'!A69&lt;'Adj-Gilts'!$B$10,'E-Gilts'!I69," ")</f>
        <v>46.38453335314346</v>
      </c>
      <c r="I69" s="126">
        <f>IF('E-Gilts'!A69&lt;'Adj-Gilts'!$B$10,'E-Gilts'!A69," ")</f>
        <v>87</v>
      </c>
      <c r="J69" s="26">
        <f>IF('E-Gilts'!A69&lt;'Adj-Gilts'!$B$10,'E-Gilts'!J69," ")</f>
        <v>933.80292841547146</v>
      </c>
      <c r="K69" s="28">
        <f>IF('E-Gilts'!A69&lt;'Adj-Gilts'!$B$10,'E-Gilts'!N69," ")</f>
        <v>72.010783813522806</v>
      </c>
      <c r="L69" s="122">
        <f>IF('E-Gilts'!A69&lt;'Adj-Gilts'!$B$10,'E-Gilts'!K69," ")</f>
        <v>0.44386759777793322</v>
      </c>
      <c r="M69">
        <f>IF('E-Gilts'!A69&lt;'Adj-Gilts'!$B$10,'E-Gilts'!M69," ")</f>
        <v>2.1037871047362477</v>
      </c>
      <c r="N69" s="30">
        <f>IF('E-Gilts'!A69&lt;'Adj-Gilts'!$B$10,1/L69," ")</f>
        <v>2.2529240814291192</v>
      </c>
      <c r="O69" s="19"/>
      <c r="P69" s="31">
        <f t="shared" ref="P69:P132" si="5">IFERROR(IF(J69&lt;0,"",CONVERT(J69,"g", "lbm")),"")</f>
        <v>2.0586830603333812</v>
      </c>
      <c r="Q69" s="31">
        <f t="shared" ref="Q69:Q132" si="6">IFERROR(IF(M69&lt;0,"",CONVERT(M69,"kg", "lbm")),"")</f>
        <v>4.6380566426552718</v>
      </c>
      <c r="R69" s="31">
        <f t="shared" ref="R69:R132" si="7">IFERROR(IF(H69&lt;0,"",CONVERT(H69,"kg", "lbm")),"")</f>
        <v>102.26039153423912</v>
      </c>
    </row>
    <row r="70" spans="1:18" x14ac:dyDescent="0.25">
      <c r="A70" s="28">
        <f>IF('E-Gilts'!A70&lt;'Adj-Gilts'!$B$10,'E-Gilts'!B70," ")</f>
        <v>43.399245005244268</v>
      </c>
      <c r="B70" s="26">
        <f>IF('E-Gilts'!A70&lt;'Adj-Gilts'!$B$10,'E-Gilts'!A70," ")</f>
        <v>88</v>
      </c>
      <c r="C70" s="26">
        <f>IF('E-Gilts'!A70&lt;'Adj-Gilts'!$B$10,'E-Gilts'!C70," ")</f>
        <v>852.22889773502425</v>
      </c>
      <c r="D70" s="28">
        <f>IF('E-Gilts'!A70&lt;'Adj-Gilts'!$B$10,'E-Gilts'!G70," ")</f>
        <v>59.708333902256669</v>
      </c>
      <c r="E70" s="27">
        <f>IF('E-Gilts'!A70&lt;'Adj-Gilts'!$B$10,'E-Gilts'!D70," ")</f>
        <v>0.49716900154988691</v>
      </c>
      <c r="F70" s="27"/>
      <c r="G70" s="92">
        <f t="shared" si="4"/>
        <v>88</v>
      </c>
      <c r="H70" s="28">
        <f>IF('E-Gilts'!A70&lt;'Adj-Gilts'!$B$10,'E-Gilts'!I70," ")</f>
        <v>47.32401720209009</v>
      </c>
      <c r="I70" s="126">
        <f>IF('E-Gilts'!A70&lt;'Adj-Gilts'!$B$10,'E-Gilts'!A70," ")</f>
        <v>88</v>
      </c>
      <c r="J70" s="26">
        <f>IF('E-Gilts'!A70&lt;'Adj-Gilts'!$B$10,'E-Gilts'!J70," ")</f>
        <v>939.48384894662786</v>
      </c>
      <c r="K70" s="28">
        <f>IF('E-Gilts'!A70&lt;'Adj-Gilts'!$B$10,'E-Gilts'!N70," ")</f>
        <v>74.139243410518205</v>
      </c>
      <c r="L70" s="122">
        <f>IF('E-Gilts'!A70&lt;'Adj-Gilts'!$B$10,'E-Gilts'!K70," ")</f>
        <v>0.44139144114966294</v>
      </c>
      <c r="M70">
        <f>IF('E-Gilts'!A70&lt;'Adj-Gilts'!$B$10,'E-Gilts'!M70," ")</f>
        <v>2.1284595969953943</v>
      </c>
      <c r="N70" s="30">
        <f>IF('E-Gilts'!A70&lt;'Adj-Gilts'!$B$10,1/L70," ")</f>
        <v>2.2655627336030042</v>
      </c>
      <c r="O70" s="19"/>
      <c r="P70" s="31">
        <f t="shared" si="5"/>
        <v>2.0712073462492939</v>
      </c>
      <c r="Q70" s="31">
        <f t="shared" si="6"/>
        <v>4.6924501772271743</v>
      </c>
      <c r="R70" s="31">
        <f t="shared" si="7"/>
        <v>104.33159888048841</v>
      </c>
    </row>
    <row r="71" spans="1:18" x14ac:dyDescent="0.25">
      <c r="A71" s="28">
        <f>IF('E-Gilts'!A71&lt;'Adj-Gilts'!$B$10,'E-Gilts'!B71," ")</f>
        <v>44.256487816561354</v>
      </c>
      <c r="B71" s="26">
        <f>IF('E-Gilts'!A71&lt;'Adj-Gilts'!$B$10,'E-Gilts'!A71," ")</f>
        <v>89</v>
      </c>
      <c r="C71" s="26">
        <f>IF('E-Gilts'!A71&lt;'Adj-Gilts'!$B$10,'E-Gilts'!C71," ")</f>
        <v>857.24281131708585</v>
      </c>
      <c r="D71" s="28">
        <f>IF('E-Gilts'!A71&lt;'Adj-Gilts'!$B$10,'E-Gilts'!G71," ")</f>
        <v>61.442165685137418</v>
      </c>
      <c r="E71" s="27">
        <f>IF('E-Gilts'!A71&lt;'Adj-Gilts'!$B$10,'E-Gilts'!D71," ")</f>
        <v>0.4944209811939107</v>
      </c>
      <c r="F71" s="27"/>
      <c r="G71" s="92">
        <f t="shared" si="4"/>
        <v>89</v>
      </c>
      <c r="H71" s="28">
        <f>IF('E-Gilts'!A71&lt;'Adj-Gilts'!$B$10,'E-Gilts'!I71," ")</f>
        <v>48.269028311192855</v>
      </c>
      <c r="I71" s="126">
        <f>IF('E-Gilts'!A71&lt;'Adj-Gilts'!$B$10,'E-Gilts'!A71," ")</f>
        <v>89</v>
      </c>
      <c r="J71" s="26">
        <f>IF('E-Gilts'!A71&lt;'Adj-Gilts'!$B$10,'E-Gilts'!J71," ")</f>
        <v>945.0111091027668</v>
      </c>
      <c r="K71" s="28">
        <f>IF('E-Gilts'!A71&lt;'Adj-Gilts'!$B$10,'E-Gilts'!N71," ")</f>
        <v>76.292125063426454</v>
      </c>
      <c r="L71" s="122">
        <f>IF('E-Gilts'!A71&lt;'Adj-Gilts'!$B$10,'E-Gilts'!K71," ")</f>
        <v>0.43895172213771394</v>
      </c>
      <c r="M71">
        <f>IF('E-Gilts'!A71&lt;'Adj-Gilts'!$B$10,'E-Gilts'!M71," ")</f>
        <v>2.1528816529082553</v>
      </c>
      <c r="N71" s="30">
        <f>IF('E-Gilts'!A71&lt;'Adj-Gilts'!$B$10,1/L71," ")</f>
        <v>2.2781548620653691</v>
      </c>
      <c r="O71" s="19"/>
      <c r="P71" s="31">
        <f t="shared" si="5"/>
        <v>2.083392869026361</v>
      </c>
      <c r="Q71" s="31">
        <f t="shared" si="6"/>
        <v>4.7462915941647239</v>
      </c>
      <c r="R71" s="31">
        <f t="shared" si="7"/>
        <v>106.41499174951477</v>
      </c>
    </row>
    <row r="72" spans="1:18" x14ac:dyDescent="0.25">
      <c r="A72" s="28">
        <f>IF('E-Gilts'!A72&lt;'Adj-Gilts'!$B$10,'E-Gilts'!B72," ")</f>
        <v>45.118605534768442</v>
      </c>
      <c r="B72" s="26">
        <f>IF('E-Gilts'!A72&lt;'Adj-Gilts'!$B$10,'E-Gilts'!A72," ")</f>
        <v>90</v>
      </c>
      <c r="C72" s="26">
        <f>IF('E-Gilts'!A72&lt;'Adj-Gilts'!$B$10,'E-Gilts'!C72," ")</f>
        <v>862.11771820708805</v>
      </c>
      <c r="D72" s="28">
        <f>IF('E-Gilts'!A72&lt;'Adj-Gilts'!$B$10,'E-Gilts'!G72," ")</f>
        <v>63.195462029100703</v>
      </c>
      <c r="E72" s="27">
        <f>IF('E-Gilts'!A72&lt;'Adj-Gilts'!$B$10,'E-Gilts'!D72," ")</f>
        <v>0.49171249411168705</v>
      </c>
      <c r="F72" s="27"/>
      <c r="G72" s="92">
        <f t="shared" si="4"/>
        <v>90</v>
      </c>
      <c r="H72" s="28">
        <f>IF('E-Gilts'!A72&lt;'Adj-Gilts'!$B$10,'E-Gilts'!I72," ")</f>
        <v>49.219413441641819</v>
      </c>
      <c r="I72" s="126">
        <f>IF('E-Gilts'!A72&lt;'Adj-Gilts'!$B$10,'E-Gilts'!A72," ")</f>
        <v>90</v>
      </c>
      <c r="J72" s="26">
        <f>IF('E-Gilts'!A72&lt;'Adj-Gilts'!$B$10,'E-Gilts'!J72," ")</f>
        <v>950.38513044896581</v>
      </c>
      <c r="K72" s="28">
        <f>IF('E-Gilts'!A72&lt;'Adj-Gilts'!$B$10,'E-Gilts'!N72," ")</f>
        <v>78.469175667930969</v>
      </c>
      <c r="L72" s="122">
        <f>IF('E-Gilts'!A72&lt;'Adj-Gilts'!$B$10,'E-Gilts'!K72," ")</f>
        <v>0.43654710114800815</v>
      </c>
      <c r="M72">
        <f>IF('E-Gilts'!A72&lt;'Adj-Gilts'!$B$10,'E-Gilts'!M72," ")</f>
        <v>2.177050604504517</v>
      </c>
      <c r="N72" s="30">
        <f>IF('E-Gilts'!A72&lt;'Adj-Gilts'!$B$10,1/L72," ")</f>
        <v>2.2907035629609123</v>
      </c>
      <c r="O72" s="19"/>
      <c r="P72" s="31">
        <f t="shared" si="5"/>
        <v>2.0952405580564899</v>
      </c>
      <c r="Q72" s="31">
        <f t="shared" si="6"/>
        <v>4.7995750116002105</v>
      </c>
      <c r="R72" s="31">
        <f t="shared" si="7"/>
        <v>108.51023230757126</v>
      </c>
    </row>
    <row r="73" spans="1:18" x14ac:dyDescent="0.25">
      <c r="A73" s="28">
        <f>IF('E-Gilts'!A73&lt;'Adj-Gilts'!$B$10,'E-Gilts'!B73," ")</f>
        <v>45.985459585400783</v>
      </c>
      <c r="B73" s="26">
        <f>IF('E-Gilts'!A73&lt;'Adj-Gilts'!$B$10,'E-Gilts'!A73," ")</f>
        <v>91</v>
      </c>
      <c r="C73" s="26">
        <f>IF('E-Gilts'!A73&lt;'Adj-Gilts'!$B$10,'E-Gilts'!C73," ")</f>
        <v>866.854050632341</v>
      </c>
      <c r="D73" s="28">
        <f>IF('E-Gilts'!A73&lt;'Adj-Gilts'!$B$10,'E-Gilts'!G73," ")</f>
        <v>64.968017156772092</v>
      </c>
      <c r="E73" s="27">
        <f>IF('E-Gilts'!A73&lt;'Adj-Gilts'!$B$10,'E-Gilts'!D73," ")</f>
        <v>0.48904208230247398</v>
      </c>
      <c r="F73" s="27"/>
      <c r="G73" s="92">
        <f t="shared" si="4"/>
        <v>91</v>
      </c>
      <c r="H73" s="28">
        <f>IF('E-Gilts'!A73&lt;'Adj-Gilts'!$B$10,'E-Gilts'!I73," ")</f>
        <v>50.17501983110769</v>
      </c>
      <c r="I73" s="126">
        <f>IF('E-Gilts'!A73&lt;'Adj-Gilts'!$B$10,'E-Gilts'!A73," ")</f>
        <v>91</v>
      </c>
      <c r="J73" s="26">
        <f>IF('E-Gilts'!A73&lt;'Adj-Gilts'!$B$10,'E-Gilts'!J73," ")</f>
        <v>955.60638946587244</v>
      </c>
      <c r="K73" s="28">
        <f>IF('E-Gilts'!A73&lt;'Adj-Gilts'!$B$10,'E-Gilts'!N73," ")</f>
        <v>80.670139712315802</v>
      </c>
      <c r="L73" s="122">
        <f>IF('E-Gilts'!A73&lt;'Adj-Gilts'!$B$10,'E-Gilts'!K73," ")</f>
        <v>0.43417628375340561</v>
      </c>
      <c r="M73">
        <f>IF('E-Gilts'!A73&lt;'Adj-Gilts'!$B$10,'E-Gilts'!M73," ")</f>
        <v>2.2009640443848326</v>
      </c>
      <c r="N73" s="30">
        <f>IF('E-Gilts'!A73&lt;'Adj-Gilts'!$B$10,1/L73," ")</f>
        <v>2.3032119381443672</v>
      </c>
      <c r="O73" s="19"/>
      <c r="P73" s="31">
        <f t="shared" si="5"/>
        <v>2.1067514637996938</v>
      </c>
      <c r="Q73" s="31">
        <f t="shared" si="6"/>
        <v>4.8522951221265744</v>
      </c>
      <c r="R73" s="31">
        <f t="shared" si="7"/>
        <v>110.61698377137095</v>
      </c>
    </row>
    <row r="74" spans="1:18" x14ac:dyDescent="0.25">
      <c r="A74" s="28">
        <f>IF('E-Gilts'!A74&lt;'Adj-Gilts'!$B$10,'E-Gilts'!B74," ")</f>
        <v>46.856911874844606</v>
      </c>
      <c r="B74" s="26">
        <f>IF('E-Gilts'!A74&lt;'Adj-Gilts'!$B$10,'E-Gilts'!A74," ")</f>
        <v>92</v>
      </c>
      <c r="C74" s="26">
        <f>IF('E-Gilts'!A74&lt;'Adj-Gilts'!$B$10,'E-Gilts'!C74," ")</f>
        <v>871.45228944382325</v>
      </c>
      <c r="D74" s="28">
        <f>IF('E-Gilts'!A74&lt;'Adj-Gilts'!$B$10,'E-Gilts'!G74," ")</f>
        <v>66.759623555646101</v>
      </c>
      <c r="E74" s="27">
        <f>IF('E-Gilts'!A74&lt;'Adj-Gilts'!$B$10,'E-Gilts'!D74," ")</f>
        <v>0.48640833722826132</v>
      </c>
      <c r="F74" s="27"/>
      <c r="G74" s="92">
        <f t="shared" si="4"/>
        <v>92</v>
      </c>
      <c r="H74" s="28">
        <f>IF('E-Gilts'!A74&lt;'Adj-Gilts'!$B$10,'E-Gilts'!I74," ")</f>
        <v>51.135695247343797</v>
      </c>
      <c r="I74" s="126">
        <f>IF('E-Gilts'!A74&lt;'Adj-Gilts'!$B$10,'E-Gilts'!A74," ")</f>
        <v>92</v>
      </c>
      <c r="J74" s="26">
        <f>IF('E-Gilts'!A74&lt;'Adj-Gilts'!$B$10,'E-Gilts'!J74," ")</f>
        <v>960.67541623610794</v>
      </c>
      <c r="K74" s="28">
        <f>IF('E-Gilts'!A74&lt;'Adj-Gilts'!$B$10,'E-Gilts'!N74," ")</f>
        <v>82.894759530370081</v>
      </c>
      <c r="L74" s="122">
        <f>IF('E-Gilts'!A74&lt;'Adj-Gilts'!$B$10,'E-Gilts'!K74," ")</f>
        <v>0.43183801944025757</v>
      </c>
      <c r="M74">
        <f>IF('E-Gilts'!A74&lt;'Adj-Gilts'!$B$10,'E-Gilts'!M74," ")</f>
        <v>2.2246198180542835</v>
      </c>
      <c r="N74" s="30">
        <f>IF('E-Gilts'!A74&lt;'Adj-Gilts'!$B$10,1/L74," ")</f>
        <v>2.3156830917671076</v>
      </c>
      <c r="O74" s="19"/>
      <c r="P74" s="31">
        <f t="shared" si="5"/>
        <v>2.1179267548881122</v>
      </c>
      <c r="Q74" s="31">
        <f t="shared" si="6"/>
        <v>4.904447175895581</v>
      </c>
      <c r="R74" s="31">
        <f t="shared" si="7"/>
        <v>112.73491052625906</v>
      </c>
    </row>
    <row r="75" spans="1:18" x14ac:dyDescent="0.25">
      <c r="A75" s="28">
        <f>IF('E-Gilts'!A75&lt;'Adj-Gilts'!$B$10,'E-Gilts'!B75," ")</f>
        <v>47.732824837758137</v>
      </c>
      <c r="B75" s="26">
        <f>IF('E-Gilts'!A75&lt;'Adj-Gilts'!$B$10,'E-Gilts'!A75," ")</f>
        <v>93</v>
      </c>
      <c r="C75" s="26">
        <f>IF('E-Gilts'!A75&lt;'Adj-Gilts'!$B$10,'E-Gilts'!C75," ")</f>
        <v>875.9129629135316</v>
      </c>
      <c r="D75" s="28">
        <f>IF('E-Gilts'!A75&lt;'Adj-Gilts'!$B$10,'E-Gilts'!G75," ")</f>
        <v>68.570072175584002</v>
      </c>
      <c r="E75" s="27">
        <f>IF('E-Gilts'!A75&lt;'Adj-Gilts'!$B$10,'E-Gilts'!D75," ")</f>
        <v>0.4838098984237274</v>
      </c>
      <c r="F75" s="27"/>
      <c r="G75" s="92">
        <f t="shared" si="4"/>
        <v>93</v>
      </c>
      <c r="H75" s="28">
        <f>IF('E-Gilts'!A75&lt;'Adj-Gilts'!$B$10,'E-Gilts'!I75," ")</f>
        <v>52.101288040462279</v>
      </c>
      <c r="I75" s="126">
        <f>IF('E-Gilts'!A75&lt;'Adj-Gilts'!$B$10,'E-Gilts'!A75," ")</f>
        <v>93</v>
      </c>
      <c r="J75" s="26">
        <f>IF('E-Gilts'!A75&lt;'Adj-Gilts'!$B$10,'E-Gilts'!J75," ")</f>
        <v>965.59279311848479</v>
      </c>
      <c r="K75" s="28">
        <f>IF('E-Gilts'!A75&lt;'Adj-Gilts'!$B$10,'E-Gilts'!N75," ")</f>
        <v>85.142775546619021</v>
      </c>
      <c r="L75" s="122">
        <f>IF('E-Gilts'!A75&lt;'Adj-Gilts'!$B$10,'E-Gilts'!K75," ")</f>
        <v>0.42953110037431225</v>
      </c>
      <c r="M75">
        <f>IF('E-Gilts'!A75&lt;'Adj-Gilts'!$B$10,'E-Gilts'!M75," ")</f>
        <v>2.2480160162489393</v>
      </c>
      <c r="N75" s="30">
        <f>IF('E-Gilts'!A75&lt;'Adj-Gilts'!$B$10,1/L75," ")</f>
        <v>2.3281201271073413</v>
      </c>
      <c r="O75" s="19"/>
      <c r="P75" s="31">
        <f t="shared" si="5"/>
        <v>2.1287677152031566</v>
      </c>
      <c r="Q75" s="31">
        <f t="shared" si="6"/>
        <v>4.9560269637007766</v>
      </c>
      <c r="R75" s="31">
        <f t="shared" si="7"/>
        <v>114.86367824146221</v>
      </c>
    </row>
    <row r="76" spans="1:18" x14ac:dyDescent="0.25">
      <c r="A76" s="28">
        <f>IF('E-Gilts'!A76&lt;'Adj-Gilts'!$B$10,'E-Gilts'!B76," ")</f>
        <v>48.61306148328017</v>
      </c>
      <c r="B76" s="26">
        <f>IF('E-Gilts'!A76&lt;'Adj-Gilts'!$B$10,'E-Gilts'!A76," ")</f>
        <v>94</v>
      </c>
      <c r="C76" s="26">
        <f>IF('E-Gilts'!A76&lt;'Adj-Gilts'!$B$10,'E-Gilts'!C76," ")</f>
        <v>880.23664552203229</v>
      </c>
      <c r="D76" s="28">
        <f>IF('E-Gilts'!A76&lt;'Adj-Gilts'!$B$10,'E-Gilts'!G76," ")</f>
        <v>70.399152620136647</v>
      </c>
      <c r="E76" s="27">
        <f>IF('E-Gilts'!A76&lt;'Adj-Gilts'!$B$10,'E-Gilts'!D76," ")</f>
        <v>0.48124545213063158</v>
      </c>
      <c r="F76" s="27"/>
      <c r="G76" s="92">
        <f t="shared" si="4"/>
        <v>94</v>
      </c>
      <c r="H76" s="28">
        <f>IF('E-Gilts'!A76&lt;'Adj-Gilts'!$B$10,'E-Gilts'!I76," ")</f>
        <v>53.071647193873702</v>
      </c>
      <c r="I76" s="126">
        <f>IF('E-Gilts'!A76&lt;'Adj-Gilts'!$B$10,'E-Gilts'!A76," ")</f>
        <v>94</v>
      </c>
      <c r="J76" s="26">
        <f>IF('E-Gilts'!A76&lt;'Adj-Gilts'!$B$10,'E-Gilts'!J76," ")</f>
        <v>970.35915341142197</v>
      </c>
      <c r="K76" s="28">
        <f>IF('E-Gilts'!A76&lt;'Adj-Gilts'!$B$10,'E-Gilts'!N76," ")</f>
        <v>87.413926513887631</v>
      </c>
      <c r="L76" s="122">
        <f>IF('E-Gilts'!A76&lt;'Adj-Gilts'!$B$10,'E-Gilts'!K76," ")</f>
        <v>0.42725436018831559</v>
      </c>
      <c r="M76">
        <f>IF('E-Gilts'!A76&lt;'Adj-Gilts'!$B$10,'E-Gilts'!M76," ")</f>
        <v>2.2711509672686052</v>
      </c>
      <c r="N76" s="30">
        <f>IF('E-Gilts'!A76&lt;'Adj-Gilts'!$B$10,1/L76," ")</f>
        <v>2.3405261436284523</v>
      </c>
      <c r="O76" s="19"/>
      <c r="P76" s="31">
        <f t="shared" si="5"/>
        <v>2.1392757409288476</v>
      </c>
      <c r="Q76" s="31">
        <f t="shared" si="6"/>
        <v>5.0070308000740953</v>
      </c>
      <c r="R76" s="31">
        <f t="shared" si="7"/>
        <v>117.00295398239106</v>
      </c>
    </row>
    <row r="77" spans="1:18" x14ac:dyDescent="0.25">
      <c r="A77" s="28">
        <f>IF('E-Gilts'!A77&lt;'Adj-Gilts'!$B$10,'E-Gilts'!B77," ")</f>
        <v>49.497485440016874</v>
      </c>
      <c r="B77" s="26">
        <f>IF('E-Gilts'!A77&lt;'Adj-Gilts'!$B$10,'E-Gilts'!A77," ")</f>
        <v>95</v>
      </c>
      <c r="C77" s="26">
        <f>IF('E-Gilts'!A77&lt;'Adj-Gilts'!$B$10,'E-Gilts'!C77," ")</f>
        <v>884.42395673670399</v>
      </c>
      <c r="D77" s="28">
        <f>IF('E-Gilts'!A77&lt;'Adj-Gilts'!$B$10,'E-Gilts'!G77," ")</f>
        <v>72.246653331707606</v>
      </c>
      <c r="E77" s="27">
        <f>IF('E-Gilts'!A77&lt;'Adj-Gilts'!$B$10,'E-Gilts'!D77," ")</f>
        <v>0.47871372995827577</v>
      </c>
      <c r="F77" s="27"/>
      <c r="G77" s="92">
        <f t="shared" si="4"/>
        <v>95</v>
      </c>
      <c r="H77" s="28">
        <f>IF('E-Gilts'!A77&lt;'Adj-Gilts'!$B$10,'E-Gilts'!I77," ")</f>
        <v>54.046622373879799</v>
      </c>
      <c r="I77" s="126">
        <f>IF('E-Gilts'!A77&lt;'Adj-Gilts'!$B$10,'E-Gilts'!A77," ")</f>
        <v>95</v>
      </c>
      <c r="J77" s="26">
        <f>IF('E-Gilts'!A77&lt;'Adj-Gilts'!$B$10,'E-Gilts'!J77," ")</f>
        <v>974.97518000609898</v>
      </c>
      <c r="K77" s="28">
        <f>IF('E-Gilts'!A77&lt;'Adj-Gilts'!$B$10,'E-Gilts'!N77," ")</f>
        <v>89.707949743215892</v>
      </c>
      <c r="L77" s="122">
        <f>IF('E-Gilts'!A77&lt;'Adj-Gilts'!$B$10,'E-Gilts'!K77," ")</f>
        <v>0.42500667279275584</v>
      </c>
      <c r="M77">
        <f>IF('E-Gilts'!A77&lt;'Adj-Gilts'!$B$10,'E-Gilts'!M77," ")</f>
        <v>2.294023229328265</v>
      </c>
      <c r="N77" s="30">
        <f>IF('E-Gilts'!A77&lt;'Adj-Gilts'!$B$10,1/L77," ")</f>
        <v>2.3529042342533422</v>
      </c>
      <c r="O77" s="19"/>
      <c r="P77" s="31">
        <f t="shared" si="5"/>
        <v>2.1494523375825278</v>
      </c>
      <c r="Q77" s="31">
        <f t="shared" si="6"/>
        <v>5.0574555064236746</v>
      </c>
      <c r="R77" s="31">
        <f t="shared" si="7"/>
        <v>119.15240631997359</v>
      </c>
    </row>
    <row r="78" spans="1:18" x14ac:dyDescent="0.25">
      <c r="A78" s="28">
        <f>IF('E-Gilts'!A78&lt;'Adj-Gilts'!$B$10,'E-Gilts'!B78," ")</f>
        <v>50.385960999800552</v>
      </c>
      <c r="B78" s="26">
        <f>IF('E-Gilts'!A78&lt;'Adj-Gilts'!$B$10,'E-Gilts'!A78," ")</f>
        <v>96</v>
      </c>
      <c r="C78" s="26">
        <f>IF('E-Gilts'!A78&lt;'Adj-Gilts'!$B$10,'E-Gilts'!C78," ")</f>
        <v>888.47555978367859</v>
      </c>
      <c r="D78" s="28">
        <f>IF('E-Gilts'!A78&lt;'Adj-Gilts'!$B$10,'E-Gilts'!G78," ")</f>
        <v>74.112361770581074</v>
      </c>
      <c r="E78" s="27">
        <f>IF('E-Gilts'!A78&lt;'Adj-Gilts'!$B$10,'E-Gilts'!D78," ")</f>
        <v>0.47621350757257053</v>
      </c>
      <c r="F78" s="27"/>
      <c r="G78" s="92">
        <f t="shared" si="4"/>
        <v>96</v>
      </c>
      <c r="H78" s="28">
        <f>IF('E-Gilts'!A78&lt;'Adj-Gilts'!$B$10,'E-Gilts'!I78," ")</f>
        <v>55.026063977912465</v>
      </c>
      <c r="I78" s="126">
        <f>IF('E-Gilts'!A78&lt;'Adj-Gilts'!$B$10,'E-Gilts'!A78," ")</f>
        <v>96</v>
      </c>
      <c r="J78" s="26">
        <f>IF('E-Gilts'!A78&lt;'Adj-Gilts'!$B$10,'E-Gilts'!J78," ")</f>
        <v>979.44160403266255</v>
      </c>
      <c r="K78" s="28">
        <f>IF('E-Gilts'!A78&lt;'Adj-Gilts'!$B$10,'E-Gilts'!N78," ")</f>
        <v>92.024581326155939</v>
      </c>
      <c r="L78" s="122">
        <f>IF('E-Gilts'!A78&lt;'Adj-Gilts'!$B$10,'E-Gilts'!K78," ")</f>
        <v>0.4227869512120041</v>
      </c>
      <c r="M78">
        <f>IF('E-Gilts'!A78&lt;'Adj-Gilts'!$B$10,'E-Gilts'!M78," ")</f>
        <v>2.3166315829400497</v>
      </c>
      <c r="N78" s="30">
        <f>IF('E-Gilts'!A78&lt;'Adj-Gilts'!$B$10,1/L78," ")</f>
        <v>2.3652574828369186</v>
      </c>
      <c r="O78" s="19"/>
      <c r="P78" s="31">
        <f t="shared" si="5"/>
        <v>2.1592991170302591</v>
      </c>
      <c r="Q78" s="31">
        <f t="shared" si="6"/>
        <v>5.1072983942389723</v>
      </c>
      <c r="R78" s="31">
        <f t="shared" si="7"/>
        <v>121.31170543700385</v>
      </c>
    </row>
    <row r="79" spans="1:18" x14ac:dyDescent="0.25">
      <c r="A79" s="28">
        <f>IF('E-Gilts'!A79&lt;'Adj-Gilts'!$B$10,'E-Gilts'!B79," ")</f>
        <v>51.278353160213292</v>
      </c>
      <c r="B79" s="26">
        <f>IF('E-Gilts'!A79&lt;'Adj-Gilts'!$B$10,'E-Gilts'!A79," ")</f>
        <v>97</v>
      </c>
      <c r="C79" s="26">
        <f>IF('E-Gilts'!A79&lt;'Adj-Gilts'!$B$10,'E-Gilts'!C79," ")</f>
        <v>892.39216041274005</v>
      </c>
      <c r="D79" s="28">
        <f>IF('E-Gilts'!A79&lt;'Adj-Gilts'!$B$10,'E-Gilts'!G79," ")</f>
        <v>75.996064587848153</v>
      </c>
      <c r="E79" s="27">
        <f>IF('E-Gilts'!A79&lt;'Adj-Gilts'!$B$10,'E-Gilts'!D79," ")</f>
        <v>0.47374360341375171</v>
      </c>
      <c r="F79" s="27"/>
      <c r="G79" s="92">
        <f t="shared" si="4"/>
        <v>97</v>
      </c>
      <c r="H79" s="28">
        <f>IF('E-Gilts'!A79&lt;'Adj-Gilts'!$B$10,'E-Gilts'!I79," ")</f>
        <v>56.009823181411136</v>
      </c>
      <c r="I79" s="126">
        <f>IF('E-Gilts'!A79&lt;'Adj-Gilts'!$B$10,'E-Gilts'!A79," ")</f>
        <v>97</v>
      </c>
      <c r="J79" s="26">
        <f>IF('E-Gilts'!A79&lt;'Adj-Gilts'!$B$10,'E-Gilts'!J79," ")</f>
        <v>983.75920349867079</v>
      </c>
      <c r="K79" s="28">
        <f>IF('E-Gilts'!A79&lt;'Adj-Gilts'!$B$10,'E-Gilts'!N79," ")</f>
        <v>94.36355634949291</v>
      </c>
      <c r="L79" s="122">
        <f>IF('E-Gilts'!A79&lt;'Adj-Gilts'!$B$10,'E-Gilts'!K79," ")</f>
        <v>0.42059414644589038</v>
      </c>
      <c r="M79">
        <f>IF('E-Gilts'!A79&lt;'Adj-Gilts'!$B$10,'E-Gilts'!M79," ")</f>
        <v>2.3389750233369733</v>
      </c>
      <c r="N79" s="30">
        <f>IF('E-Gilts'!A79&lt;'Adj-Gilts'!$B$10,1/L79," ")</f>
        <v>2.3775889618298587</v>
      </c>
      <c r="O79" s="19"/>
      <c r="P79" s="31">
        <f t="shared" si="5"/>
        <v>2.1688177944851028</v>
      </c>
      <c r="Q79" s="31">
        <f t="shared" si="6"/>
        <v>5.1565572483879594</v>
      </c>
      <c r="R79" s="31">
        <f t="shared" si="7"/>
        <v>123.48052323148896</v>
      </c>
    </row>
    <row r="80" spans="1:18" x14ac:dyDescent="0.25">
      <c r="A80" s="28">
        <f>IF('E-Gilts'!A80&lt;'Adj-Gilts'!$B$10,'E-Gilts'!B80," ")</f>
        <v>52.174527665871928</v>
      </c>
      <c r="B80" s="26">
        <f>IF('E-Gilts'!A80&lt;'Adj-Gilts'!$B$10,'E-Gilts'!A80," ")</f>
        <v>98</v>
      </c>
      <c r="C80" s="26">
        <f>IF('E-Gilts'!A80&lt;'Adj-Gilts'!$B$10,'E-Gilts'!C80," ")</f>
        <v>896.17450565863521</v>
      </c>
      <c r="D80" s="28">
        <f>IF('E-Gilts'!A80&lt;'Adj-Gilts'!$B$10,'E-Gilts'!G80," ")</f>
        <v>77.897547792273755</v>
      </c>
      <c r="E80" s="27">
        <f>IF('E-Gilts'!A80&lt;'Adj-Gilts'!$B$10,'E-Gilts'!D80," ")</f>
        <v>0.47130287744474264</v>
      </c>
      <c r="F80" s="27"/>
      <c r="G80" s="92">
        <f t="shared" si="4"/>
        <v>98</v>
      </c>
      <c r="H80" s="28">
        <f>IF('E-Gilts'!A80&lt;'Adj-Gilts'!$B$10,'E-Gilts'!I80," ")</f>
        <v>56.997751983334716</v>
      </c>
      <c r="I80" s="126">
        <f>IF('E-Gilts'!A80&lt;'Adj-Gilts'!$B$10,'E-Gilts'!A80," ")</f>
        <v>98</v>
      </c>
      <c r="J80" s="26">
        <f>IF('E-Gilts'!A80&lt;'Adj-Gilts'!$B$10,'E-Gilts'!J80," ")</f>
        <v>987.92880192358052</v>
      </c>
      <c r="K80" s="28">
        <f>IF('E-Gilts'!A80&lt;'Adj-Gilts'!$B$10,'E-Gilts'!N80," ")</f>
        <v>96.724609102441917</v>
      </c>
      <c r="L80" s="122">
        <f>IF('E-Gilts'!A80&lt;'Adj-Gilts'!$B$10,'E-Gilts'!K80," ")</f>
        <v>0.41842724635848777</v>
      </c>
      <c r="M80">
        <f>IF('E-Gilts'!A80&lt;'Adj-Gilts'!$B$10,'E-Gilts'!M80," ")</f>
        <v>2.3610527529490084</v>
      </c>
      <c r="N80" s="30">
        <f>IF('E-Gilts'!A80&lt;'Adj-Gilts'!$B$10,1/L80," ")</f>
        <v>2.3899017301164216</v>
      </c>
      <c r="O80" s="19"/>
      <c r="P80" s="31">
        <f t="shared" si="5"/>
        <v>2.1780101854966838</v>
      </c>
      <c r="Q80" s="31">
        <f t="shared" si="6"/>
        <v>5.2052303105297133</v>
      </c>
      <c r="R80" s="31">
        <f t="shared" si="7"/>
        <v>125.65853341698563</v>
      </c>
    </row>
    <row r="81" spans="1:18" x14ac:dyDescent="0.25">
      <c r="A81" s="28">
        <f>IF('E-Gilts'!A81&lt;'Adj-Gilts'!$B$10,'E-Gilts'!B81," ")</f>
        <v>53.074351048470028</v>
      </c>
      <c r="B81" s="26">
        <f>IF('E-Gilts'!A81&lt;'Adj-Gilts'!$B$10,'E-Gilts'!A81," ")</f>
        <v>99</v>
      </c>
      <c r="C81" s="26">
        <f>IF('E-Gilts'!A81&lt;'Adj-Gilts'!$B$10,'E-Gilts'!C81," ")</f>
        <v>899.82338259810035</v>
      </c>
      <c r="D81" s="28">
        <f>IF('E-Gilts'!A81&lt;'Adj-Gilts'!$B$10,'E-Gilts'!G81," ")</f>
        <v>79.816596911154292</v>
      </c>
      <c r="E81" s="27">
        <f>IF('E-Gilts'!A81&lt;'Adj-Gilts'!$B$10,'E-Gilts'!D81," ")</f>
        <v>0.46889022992960389</v>
      </c>
      <c r="F81" s="27"/>
      <c r="G81" s="92">
        <f t="shared" si="4"/>
        <v>99</v>
      </c>
      <c r="H81" s="28">
        <f>IF('E-Gilts'!A81&lt;'Adj-Gilts'!$B$10,'E-Gilts'!I81," ")</f>
        <v>57.989703250303229</v>
      </c>
      <c r="I81" s="126">
        <f>IF('E-Gilts'!A81&lt;'Adj-Gilts'!$B$10,'E-Gilts'!A81," ")</f>
        <v>99</v>
      </c>
      <c r="J81" s="26">
        <f>IF('E-Gilts'!A81&lt;'Adj-Gilts'!$B$10,'E-Gilts'!J81," ")</f>
        <v>991.95126696851401</v>
      </c>
      <c r="K81" s="28">
        <f>IF('E-Gilts'!A81&lt;'Adj-Gilts'!$B$10,'E-Gilts'!N81," ")</f>
        <v>99.107473276383431</v>
      </c>
      <c r="L81" s="122">
        <f>IF('E-Gilts'!A81&lt;'Adj-Gilts'!$B$10,'E-Gilts'!K81," ")</f>
        <v>0.41628527459360815</v>
      </c>
      <c r="M81">
        <f>IF('E-Gilts'!A81&lt;'Adj-Gilts'!$B$10,'E-Gilts'!M81," ")</f>
        <v>2.3828641739415128</v>
      </c>
      <c r="N81" s="30">
        <f>IF('E-Gilts'!A81&lt;'Adj-Gilts'!$B$10,1/L81," ")</f>
        <v>2.4021988310209483</v>
      </c>
      <c r="O81" s="19"/>
      <c r="P81" s="31">
        <f t="shared" si="5"/>
        <v>2.1868782029303402</v>
      </c>
      <c r="Q81" s="31">
        <f t="shared" si="6"/>
        <v>5.2533162626644554</v>
      </c>
      <c r="R81" s="31">
        <f t="shared" si="7"/>
        <v>127.84541161991598</v>
      </c>
    </row>
    <row r="82" spans="1:18" x14ac:dyDescent="0.25">
      <c r="A82" s="28">
        <f>IF('E-Gilts'!A82&lt;'Adj-Gilts'!$B$10,'E-Gilts'!B82," ")</f>
        <v>53.977690665575516</v>
      </c>
      <c r="B82" s="26">
        <f>IF('E-Gilts'!A82&lt;'Adj-Gilts'!$B$10,'E-Gilts'!A82," ")</f>
        <v>100</v>
      </c>
      <c r="C82" s="26">
        <f>IF('E-Gilts'!A82&lt;'Adj-Gilts'!$B$10,'E-Gilts'!C82," ")</f>
        <v>903.33961710548749</v>
      </c>
      <c r="D82" s="28">
        <f>IF('E-Gilts'!A82&lt;'Adj-Gilts'!$B$10,'E-Gilts'!G82," ")</f>
        <v>81.752997145223873</v>
      </c>
      <c r="E82" s="27">
        <f>IF('E-Gilts'!A82&lt;'Adj-Gilts'!$B$10,'E-Gilts'!D82," ")</f>
        <v>0.4665046002432105</v>
      </c>
      <c r="F82" s="27"/>
      <c r="G82" s="92">
        <f t="shared" si="4"/>
        <v>100</v>
      </c>
      <c r="H82" s="28">
        <f>IF('E-Gilts'!A82&lt;'Adj-Gilts'!$B$10,'E-Gilts'!I82," ")</f>
        <v>58.985530759367705</v>
      </c>
      <c r="I82" s="126">
        <f>IF('E-Gilts'!A82&lt;'Adj-Gilts'!$B$10,'E-Gilts'!A82," ")</f>
        <v>100</v>
      </c>
      <c r="J82" s="26">
        <f>IF('E-Gilts'!A82&lt;'Adj-Gilts'!$B$10,'E-Gilts'!J82," ")</f>
        <v>995.82750906447973</v>
      </c>
      <c r="K82" s="28">
        <f>IF('E-Gilts'!A82&lt;'Adj-Gilts'!$B$10,'E-Gilts'!N82," ")</f>
        <v>101.51188215720875</v>
      </c>
      <c r="L82" s="122">
        <f>IF('E-Gilts'!A82&lt;'Adj-Gilts'!$B$10,'E-Gilts'!K82," ")</f>
        <v>0.41416728951802229</v>
      </c>
      <c r="M82">
        <f>IF('E-Gilts'!A82&lt;'Adj-Gilts'!$B$10,'E-Gilts'!M82," ")</f>
        <v>2.4044088808253088</v>
      </c>
      <c r="N82" s="30">
        <f>IF('E-Gilts'!A82&lt;'Adj-Gilts'!$B$10,1/L82," ")</f>
        <v>2.414483290468755</v>
      </c>
      <c r="O82" s="19"/>
      <c r="P82" s="31">
        <f t="shared" si="5"/>
        <v>2.1954238539428688</v>
      </c>
      <c r="Q82" s="31">
        <f t="shared" si="6"/>
        <v>5.3008142108415726</v>
      </c>
      <c r="R82" s="31">
        <f t="shared" si="7"/>
        <v>130.04083547385883</v>
      </c>
    </row>
    <row r="83" spans="1:18" x14ac:dyDescent="0.25">
      <c r="A83" s="28">
        <f>IF('E-Gilts'!A83&lt;'Adj-Gilts'!$B$10,'E-Gilts'!B83," ")</f>
        <v>54.884414738182727</v>
      </c>
      <c r="B83" s="26">
        <f>IF('E-Gilts'!A83&lt;'Adj-Gilts'!$B$10,'E-Gilts'!A83," ")</f>
        <v>101</v>
      </c>
      <c r="C83" s="26">
        <f>IF('E-Gilts'!A83&lt;'Adj-Gilts'!$B$10,'E-Gilts'!C83," ")</f>
        <v>906.72407260721138</v>
      </c>
      <c r="D83" s="28">
        <f>IF('E-Gilts'!A83&lt;'Adj-Gilts'!$B$10,'E-Gilts'!G83," ")</f>
        <v>83.706533517673719</v>
      </c>
      <c r="E83" s="27">
        <f>IF('E-Gilts'!A83&lt;'Adj-Gilts'!$B$10,'E-Gilts'!D83," ")</f>
        <v>0.46414496571165798</v>
      </c>
      <c r="F83" s="27"/>
      <c r="G83" s="92">
        <f t="shared" si="4"/>
        <v>101</v>
      </c>
      <c r="H83" s="28">
        <f>IF('E-Gilts'!A83&lt;'Adj-Gilts'!$B$10,'E-Gilts'!I83," ")</f>
        <v>59.985089239407003</v>
      </c>
      <c r="I83" s="126">
        <f>IF('E-Gilts'!A83&lt;'Adj-Gilts'!$B$10,'E-Gilts'!A83," ")</f>
        <v>101</v>
      </c>
      <c r="J83" s="26">
        <f>IF('E-Gilts'!A83&lt;'Adj-Gilts'!$B$10,'E-Gilts'!J83," ")</f>
        <v>999.55848003929498</v>
      </c>
      <c r="K83" s="28">
        <f>IF('E-Gilts'!A83&lt;'Adj-Gilts'!$B$10,'E-Gilts'!N83," ")</f>
        <v>103.93756881035594</v>
      </c>
      <c r="L83" s="122">
        <f>IF('E-Gilts'!A83&lt;'Adj-Gilts'!$B$10,'E-Gilts'!K83," ")</f>
        <v>0.41207238319196088</v>
      </c>
      <c r="M83">
        <f>IF('E-Gilts'!A83&lt;'Adj-Gilts'!$B$10,'E-Gilts'!M83," ")</f>
        <v>2.4256866531471921</v>
      </c>
      <c r="N83" s="30">
        <f>IF('E-Gilts'!A83&lt;'Adj-Gilts'!$B$10,1/L83," ")</f>
        <v>2.426758115294898</v>
      </c>
      <c r="O83" s="19"/>
      <c r="P83" s="31">
        <f t="shared" si="5"/>
        <v>2.2036492369554077</v>
      </c>
      <c r="Q83" s="31">
        <f t="shared" si="6"/>
        <v>5.347723669044945</v>
      </c>
      <c r="R83" s="31">
        <f t="shared" si="7"/>
        <v>132.24448471081428</v>
      </c>
    </row>
    <row r="84" spans="1:18" x14ac:dyDescent="0.25">
      <c r="A84" s="28">
        <f>IF('E-Gilts'!A84&lt;'Adj-Gilts'!$B$10,'E-Gilts'!B84," ")</f>
        <v>55.794392387019265</v>
      </c>
      <c r="B84" s="26">
        <f>IF('E-Gilts'!A84&lt;'Adj-Gilts'!$B$10,'E-Gilts'!A84," ")</f>
        <v>102</v>
      </c>
      <c r="C84" s="26">
        <f>IF('E-Gilts'!A84&lt;'Adj-Gilts'!$B$10,'E-Gilts'!C84," ")</f>
        <v>909.97764883653781</v>
      </c>
      <c r="D84" s="28">
        <f>IF('E-Gilts'!A84&lt;'Adj-Gilts'!$B$10,'E-Gilts'!G84," ")</f>
        <v>85.676991017356258</v>
      </c>
      <c r="E84" s="27">
        <f>IF('E-Gilts'!A84&lt;'Adj-Gilts'!$B$10,'E-Gilts'!D84," ")</f>
        <v>0.4618103404834395</v>
      </c>
      <c r="F84" s="27"/>
      <c r="G84" s="92">
        <f t="shared" si="4"/>
        <v>102</v>
      </c>
      <c r="H84" s="28">
        <f>IF('E-Gilts'!A84&lt;'Adj-Gilts'!$B$10,'E-Gilts'!I84," ")</f>
        <v>60.988234411151886</v>
      </c>
      <c r="I84" s="126">
        <f>IF('E-Gilts'!A84&lt;'Adj-Gilts'!$B$10,'E-Gilts'!A84," ")</f>
        <v>102</v>
      </c>
      <c r="J84" s="26">
        <f>IF('E-Gilts'!A84&lt;'Adj-Gilts'!$B$10,'E-Gilts'!J84," ")</f>
        <v>1003.1451717448832</v>
      </c>
      <c r="K84" s="28">
        <f>IF('E-Gilts'!A84&lt;'Adj-Gilts'!$B$10,'E-Gilts'!N84," ")</f>
        <v>106.38426625862493</v>
      </c>
      <c r="L84" s="122">
        <f>IF('E-Gilts'!A84&lt;'Adj-Gilts'!$B$10,'E-Gilts'!K84," ")</f>
        <v>0.40999968036693507</v>
      </c>
      <c r="M84">
        <f>IF('E-Gilts'!A84&lt;'Adj-Gilts'!$B$10,'E-Gilts'!M84," ")</f>
        <v>2.4466974482689938</v>
      </c>
      <c r="N84" s="30">
        <f>IF('E-Gilts'!A84&lt;'Adj-Gilts'!$B$10,1/L84," ")</f>
        <v>2.4390262916913392</v>
      </c>
      <c r="O84" s="19"/>
      <c r="P84" s="31">
        <f t="shared" si="5"/>
        <v>2.211556538627145</v>
      </c>
      <c r="Q84" s="31">
        <f t="shared" si="6"/>
        <v>5.3940445432734991</v>
      </c>
      <c r="R84" s="31">
        <f t="shared" si="7"/>
        <v>134.45604124944137</v>
      </c>
    </row>
    <row r="85" spans="1:18" x14ac:dyDescent="0.25">
      <c r="A85" s="28">
        <f>IF('E-Gilts'!A85&lt;'Adj-Gilts'!$B$10,'E-Gilts'!B85," ")</f>
        <v>56.707493667609555</v>
      </c>
      <c r="B85" s="26">
        <f>IF('E-Gilts'!A85&lt;'Adj-Gilts'!$B$10,'E-Gilts'!A85," ")</f>
        <v>103</v>
      </c>
      <c r="C85" s="26">
        <f>IF('E-Gilts'!A85&lt;'Adj-Gilts'!$B$10,'E-Gilts'!C85," ")</f>
        <v>913.10128059028989</v>
      </c>
      <c r="D85" s="28">
        <f>IF('E-Gilts'!A85&lt;'Adj-Gilts'!$B$10,'E-Gilts'!G85," ")</f>
        <v>87.664154736251106</v>
      </c>
      <c r="E85" s="27">
        <f>IF('E-Gilts'!A85&lt;'Adj-Gilts'!$B$10,'E-Gilts'!D85," ")</f>
        <v>0.45949977443132367</v>
      </c>
      <c r="F85" s="27"/>
      <c r="G85" s="92">
        <f t="shared" si="4"/>
        <v>103</v>
      </c>
      <c r="H85" s="28">
        <f>IF('E-Gilts'!A85&lt;'Adj-Gilts'!$B$10,'E-Gilts'!I85," ")</f>
        <v>61.994823025838571</v>
      </c>
      <c r="I85" s="126">
        <f>IF('E-Gilts'!A85&lt;'Adj-Gilts'!$B$10,'E-Gilts'!A85," ")</f>
        <v>103</v>
      </c>
      <c r="J85" s="26">
        <f>IF('E-Gilts'!A85&lt;'Adj-Gilts'!$B$10,'E-Gilts'!J85," ")</f>
        <v>1006.588614686687</v>
      </c>
      <c r="K85" s="28">
        <f>IF('E-Gilts'!A85&lt;'Adj-Gilts'!$B$10,'E-Gilts'!N85," ")</f>
        <v>108.85170765286767</v>
      </c>
      <c r="L85" s="122">
        <f>IF('E-Gilts'!A85&lt;'Adj-Gilts'!$B$10,'E-Gilts'!K85," ")</f>
        <v>0.40794833751081266</v>
      </c>
      <c r="M85">
        <f>IF('E-Gilts'!A85&lt;'Adj-Gilts'!$B$10,'E-Gilts'!M85," ")</f>
        <v>2.4674413942427393</v>
      </c>
      <c r="N85" s="30">
        <f>IF('E-Gilts'!A85&lt;'Adj-Gilts'!$B$10,1/L85," ")</f>
        <v>2.4512907837833633</v>
      </c>
      <c r="O85" s="19"/>
      <c r="P85" s="31">
        <f t="shared" si="5"/>
        <v>2.2191480308336908</v>
      </c>
      <c r="Q85" s="31">
        <f t="shared" si="6"/>
        <v>5.4397771158336266</v>
      </c>
      <c r="R85" s="31">
        <f t="shared" si="7"/>
        <v>136.67518928027508</v>
      </c>
    </row>
    <row r="86" spans="1:18" x14ac:dyDescent="0.25">
      <c r="A86" s="28">
        <f>IF('E-Gilts'!A86&lt;'Adj-Gilts'!$B$10,'E-Gilts'!B86," ")</f>
        <v>57.623589604097106</v>
      </c>
      <c r="B86" s="26">
        <f>IF('E-Gilts'!A86&lt;'Adj-Gilts'!$B$10,'E-Gilts'!A86," ")</f>
        <v>104</v>
      </c>
      <c r="C86" s="26">
        <f>IF('E-Gilts'!A86&lt;'Adj-Gilts'!$B$10,'E-Gilts'!C86," ")</f>
        <v>916.09593648755094</v>
      </c>
      <c r="D86" s="28">
        <f>IF('E-Gilts'!A86&lt;'Adj-Gilts'!$B$10,'E-Gilts'!G86," ")</f>
        <v>89.667810001276109</v>
      </c>
      <c r="E86" s="27">
        <f>IF('E-Gilts'!A86&lt;'Adj-Gilts'!$B$10,'E-Gilts'!D86," ")</f>
        <v>0.45721235208399086</v>
      </c>
      <c r="F86" s="27"/>
      <c r="G86" s="92">
        <f t="shared" si="4"/>
        <v>104</v>
      </c>
      <c r="H86" s="28">
        <f>IF('E-Gilts'!A86&lt;'Adj-Gilts'!$B$10,'E-Gilts'!I86," ")</f>
        <v>63.00471290249385</v>
      </c>
      <c r="I86" s="126">
        <f>IF('E-Gilts'!A86&lt;'Adj-Gilts'!$B$10,'E-Gilts'!A86," ")</f>
        <v>104</v>
      </c>
      <c r="J86" s="26">
        <f>IF('E-Gilts'!A86&lt;'Adj-Gilts'!$B$10,'E-Gilts'!J86," ")</f>
        <v>1009.8898766552812</v>
      </c>
      <c r="K86" s="28">
        <f>IF('E-Gilts'!A86&lt;'Adj-Gilts'!$B$10,'E-Gilts'!N86," ")</f>
        <v>111.33962643565656</v>
      </c>
      <c r="L86" s="122">
        <f>IF('E-Gilts'!A86&lt;'Adj-Gilts'!$B$10,'E-Gilts'!K86," ")</f>
        <v>0.4059175418593145</v>
      </c>
      <c r="M86">
        <f>IF('E-Gilts'!A86&lt;'Adj-Gilts'!$B$10,'E-Gilts'!M86," ")</f>
        <v>2.4879187827888831</v>
      </c>
      <c r="N86" s="30">
        <f>IF('E-Gilts'!A86&lt;'Adj-Gilts'!$B$10,1/L86," ")</f>
        <v>2.4635545323305745</v>
      </c>
      <c r="O86" s="19"/>
      <c r="P86" s="31">
        <f t="shared" si="5"/>
        <v>2.2264260676503027</v>
      </c>
      <c r="Q86" s="31">
        <f t="shared" si="6"/>
        <v>5.4849220298588426</v>
      </c>
      <c r="R86" s="31">
        <f t="shared" si="7"/>
        <v>138.9016153479254</v>
      </c>
    </row>
    <row r="87" spans="1:18" x14ac:dyDescent="0.25">
      <c r="A87" s="28">
        <f>IF('E-Gilts'!A87&lt;'Adj-Gilts'!$B$10,'E-Gilts'!B87," ")</f>
        <v>58.542552221830348</v>
      </c>
      <c r="B87" s="26">
        <f>IF('E-Gilts'!A87&lt;'Adj-Gilts'!$B$10,'E-Gilts'!A87," ")</f>
        <v>105</v>
      </c>
      <c r="C87" s="26">
        <f>IF('E-Gilts'!A87&lt;'Adj-Gilts'!$B$10,'E-Gilts'!C87," ")</f>
        <v>918.96261773324284</v>
      </c>
      <c r="D87" s="28">
        <f>IF('E-Gilts'!A87&lt;'Adj-Gilts'!$B$10,'E-Gilts'!G87," ")</f>
        <v>91.687742500531499</v>
      </c>
      <c r="E87" s="27">
        <f>IF('E-Gilts'!A87&lt;'Adj-Gilts'!$B$10,'E-Gilts'!D87," ")</f>
        <v>0.45494719158783908</v>
      </c>
      <c r="F87" s="27"/>
      <c r="G87" s="92">
        <f t="shared" si="4"/>
        <v>105</v>
      </c>
      <c r="H87" s="28">
        <f>IF('E-Gilts'!A87&lt;'Adj-Gilts'!$B$10,'E-Gilts'!I87," ")</f>
        <v>64.017762963857209</v>
      </c>
      <c r="I87" s="126">
        <f>IF('E-Gilts'!A87&lt;'Adj-Gilts'!$B$10,'E-Gilts'!A87," ")</f>
        <v>105</v>
      </c>
      <c r="J87" s="26">
        <f>IF('E-Gilts'!A87&lt;'Adj-Gilts'!$B$10,'E-Gilts'!J87," ")</f>
        <v>1013.0500613633608</v>
      </c>
      <c r="K87" s="28">
        <f>IF('E-Gilts'!A87&lt;'Adj-Gilts'!$B$10,'E-Gilts'!N87," ")</f>
        <v>113.84775649804055</v>
      </c>
      <c r="L87" s="122">
        <f>IF('E-Gilts'!A87&lt;'Adj-Gilts'!$B$10,'E-Gilts'!K87," ")</f>
        <v>0.4039065104942961</v>
      </c>
      <c r="M87">
        <f>IF('E-Gilts'!A87&lt;'Adj-Gilts'!$B$10,'E-Gilts'!M87," ")</f>
        <v>2.5081300623839957</v>
      </c>
      <c r="N87" s="30">
        <f>IF('E-Gilts'!A87&lt;'Adj-Gilts'!$B$10,1/L87," ")</f>
        <v>2.4758204535406265</v>
      </c>
      <c r="O87" s="19"/>
      <c r="P87" s="31">
        <f t="shared" si="5"/>
        <v>2.2333930823469554</v>
      </c>
      <c r="Q87" s="31">
        <f t="shared" si="6"/>
        <v>5.5294802740707381</v>
      </c>
      <c r="R87" s="31">
        <f t="shared" si="7"/>
        <v>141.13500843027234</v>
      </c>
    </row>
    <row r="88" spans="1:18" x14ac:dyDescent="0.25">
      <c r="A88" s="28">
        <f>IF('E-Gilts'!A88&lt;'Adj-Gilts'!$B$10,'E-Gilts'!B88," ")</f>
        <v>59.464254578715838</v>
      </c>
      <c r="B88" s="26">
        <f>IF('E-Gilts'!A88&lt;'Adj-Gilts'!$B$10,'E-Gilts'!A88," ")</f>
        <v>106</v>
      </c>
      <c r="C88" s="26">
        <f>IF('E-Gilts'!A88&lt;'Adj-Gilts'!$B$10,'E-Gilts'!C88," ")</f>
        <v>921.70235688548985</v>
      </c>
      <c r="D88" s="28">
        <f>IF('E-Gilts'!A88&lt;'Adj-Gilts'!$B$10,'E-Gilts'!G88," ")</f>
        <v>93.723738404070076</v>
      </c>
      <c r="E88" s="27">
        <f>IF('E-Gilts'!A88&lt;'Adj-Gilts'!$B$10,'E-Gilts'!D88," ")</f>
        <v>0.45270344369729032</v>
      </c>
      <c r="F88" s="27"/>
      <c r="G88" s="92">
        <f t="shared" si="4"/>
        <v>106</v>
      </c>
      <c r="H88" s="28">
        <f>IF('E-Gilts'!A88&lt;'Adj-Gilts'!$B$10,'E-Gilts'!I88," ")</f>
        <v>65.033833270944115</v>
      </c>
      <c r="I88" s="126">
        <f>IF('E-Gilts'!A88&lt;'Adj-Gilts'!$B$10,'E-Gilts'!A88," ")</f>
        <v>106</v>
      </c>
      <c r="J88" s="26">
        <f>IF('E-Gilts'!A88&lt;'Adj-Gilts'!$B$10,'E-Gilts'!J88," ")</f>
        <v>1016.0703070869024</v>
      </c>
      <c r="K88" s="28">
        <f>IF('E-Gilts'!A88&lt;'Adj-Gilts'!$B$10,'E-Gilts'!N88," ")</f>
        <v>116.37583232950433</v>
      </c>
      <c r="L88" s="122">
        <f>IF('E-Gilts'!A88&lt;'Adj-Gilts'!$B$10,'E-Gilts'!K88," ")</f>
        <v>0.40191448944733132</v>
      </c>
      <c r="M88">
        <f>IF('E-Gilts'!A88&lt;'Adj-Gilts'!$B$10,'E-Gilts'!M88," ")</f>
        <v>2.528075831463779</v>
      </c>
      <c r="N88" s="30">
        <f>IF('E-Gilts'!A88&lt;'Adj-Gilts'!$B$10,1/L88," ")</f>
        <v>2.4880914379949082</v>
      </c>
      <c r="O88" s="19"/>
      <c r="P88" s="31">
        <f t="shared" si="5"/>
        <v>2.2400515843926176</v>
      </c>
      <c r="Q88" s="31">
        <f t="shared" si="6"/>
        <v>5.5734531677942005</v>
      </c>
      <c r="R88" s="31">
        <f t="shared" si="7"/>
        <v>143.37506001466497</v>
      </c>
    </row>
    <row r="89" spans="1:18" x14ac:dyDescent="0.25">
      <c r="A89" s="28">
        <f>IF('E-Gilts'!A89&lt;'Adj-Gilts'!$B$10,'E-Gilts'!B89," ")</f>
        <v>60.388570795345473</v>
      </c>
      <c r="B89" s="26">
        <f>IF('E-Gilts'!A89&lt;'Adj-Gilts'!$B$10,'E-Gilts'!A89," ")</f>
        <v>107</v>
      </c>
      <c r="C89" s="26">
        <f>IF('E-Gilts'!A89&lt;'Adj-Gilts'!$B$10,'E-Gilts'!C89," ")</f>
        <v>924.31621662963437</v>
      </c>
      <c r="D89" s="28">
        <f>IF('E-Gilts'!A89&lt;'Adj-Gilts'!$B$10,'E-Gilts'!G89," ")</f>
        <v>95.775584479290544</v>
      </c>
      <c r="E89" s="27">
        <f>IF('E-Gilts'!A89&lt;'Adj-Gilts'!$B$10,'E-Gilts'!D89," ")</f>
        <v>0.45048029079389651</v>
      </c>
      <c r="F89" s="27"/>
      <c r="G89" s="92">
        <f t="shared" si="4"/>
        <v>107</v>
      </c>
      <c r="H89" s="28">
        <f>IF('E-Gilts'!A89&lt;'Adj-Gilts'!$B$10,'E-Gilts'!I89," ")</f>
        <v>66.052785056257775</v>
      </c>
      <c r="I89" s="126">
        <f>IF('E-Gilts'!A89&lt;'Adj-Gilts'!$B$10,'E-Gilts'!A89," ")</f>
        <v>107</v>
      </c>
      <c r="J89" s="26">
        <f>IF('E-Gilts'!A89&lt;'Adj-Gilts'!$B$10,'E-Gilts'!J89," ")</f>
        <v>1018.9517853136582</v>
      </c>
      <c r="K89" s="28">
        <f>IF('E-Gilts'!A89&lt;'Adj-Gilts'!$B$10,'E-Gilts'!N89," ")</f>
        <v>118.92358916125103</v>
      </c>
      <c r="L89" s="122">
        <f>IF('E-Gilts'!A89&lt;'Adj-Gilts'!$B$10,'E-Gilts'!K89," ")</f>
        <v>0.3999407528288656</v>
      </c>
      <c r="M89">
        <f>IF('E-Gilts'!A89&lt;'Adj-Gilts'!$B$10,'E-Gilts'!M89," ")</f>
        <v>2.5477568317466939</v>
      </c>
      <c r="N89" s="30">
        <f>IF('E-Gilts'!A89&lt;'Adj-Gilts'!$B$10,1/L89," ")</f>
        <v>2.5003703496750163</v>
      </c>
      <c r="O89" s="19"/>
      <c r="P89" s="31">
        <f t="shared" si="5"/>
        <v>2.246404156475688</v>
      </c>
      <c r="Q89" s="31">
        <f t="shared" si="6"/>
        <v>5.616842346238526</v>
      </c>
      <c r="R89" s="31">
        <f t="shared" si="7"/>
        <v>145.62146417114067</v>
      </c>
    </row>
    <row r="90" spans="1:18" x14ac:dyDescent="0.25">
      <c r="A90" s="28">
        <f>IF('E-Gilts'!A90&lt;'Adj-Gilts'!$B$10,'E-Gilts'!B90," ")</f>
        <v>61.315376083904901</v>
      </c>
      <c r="B90" s="26">
        <f>IF('E-Gilts'!A90&lt;'Adj-Gilts'!$B$10,'E-Gilts'!A90," ")</f>
        <v>108</v>
      </c>
      <c r="C90" s="26">
        <f>IF('E-Gilts'!A90&lt;'Adj-Gilts'!$B$10,'E-Gilts'!C90," ")</f>
        <v>926.80528855942862</v>
      </c>
      <c r="D90" s="28">
        <f>IF('E-Gilts'!A90&lt;'Adj-Gilts'!$B$10,'E-Gilts'!G90," ")</f>
        <v>97.843068201055019</v>
      </c>
      <c r="E90" s="27">
        <f>IF('E-Gilts'!A90&lt;'Adj-Gilts'!$B$10,'E-Gilts'!D90," ")</f>
        <v>0.44827694593331802</v>
      </c>
      <c r="F90" s="27"/>
      <c r="G90" s="92">
        <f t="shared" si="4"/>
        <v>108</v>
      </c>
      <c r="H90" s="28">
        <f>IF('E-Gilts'!A90&lt;'Adj-Gilts'!$B$10,'E-Gilts'!I90," ")</f>
        <v>67.074480755657333</v>
      </c>
      <c r="I90" s="126">
        <f>IF('E-Gilts'!A90&lt;'Adj-Gilts'!$B$10,'E-Gilts'!A90," ")</f>
        <v>108</v>
      </c>
      <c r="J90" s="26">
        <f>IF('E-Gilts'!A90&lt;'Adj-Gilts'!$B$10,'E-Gilts'!J90," ")</f>
        <v>1021.6956993995605</v>
      </c>
      <c r="K90" s="28">
        <f>IF('E-Gilts'!A90&lt;'Adj-Gilts'!$B$10,'E-Gilts'!N90," ")</f>
        <v>121.49076310293403</v>
      </c>
      <c r="L90" s="122">
        <f>IF('E-Gilts'!A90&lt;'Adj-Gilts'!$B$10,'E-Gilts'!K90," ")</f>
        <v>0.39798460198211405</v>
      </c>
      <c r="M90">
        <f>IF('E-Gilts'!A90&lt;'Adj-Gilts'!$B$10,'E-Gilts'!M90," ")</f>
        <v>2.5671739416829924</v>
      </c>
      <c r="N90" s="30">
        <f>IF('E-Gilts'!A90&lt;'Adj-Gilts'!$B$10,1/L90," ")</f>
        <v>2.5126600250854461</v>
      </c>
      <c r="O90" s="19"/>
      <c r="P90" s="31">
        <f t="shared" si="5"/>
        <v>2.2524534515418777</v>
      </c>
      <c r="Q90" s="31">
        <f t="shared" si="6"/>
        <v>5.659649746055015</v>
      </c>
      <c r="R90" s="31">
        <f t="shared" si="7"/>
        <v>147.87391762268251</v>
      </c>
    </row>
    <row r="91" spans="1:18" x14ac:dyDescent="0.25">
      <c r="A91" s="28">
        <f>IF('E-Gilts'!A91&lt;'Adj-Gilts'!$B$10,'E-Gilts'!B91," ")</f>
        <v>62.244546775870234</v>
      </c>
      <c r="B91" s="26">
        <f>IF('E-Gilts'!A91&lt;'Adj-Gilts'!$B$10,'E-Gilts'!A91," ")</f>
        <v>109</v>
      </c>
      <c r="C91" s="26">
        <f>IF('E-Gilts'!A91&lt;'Adj-Gilts'!$B$10,'E-Gilts'!C91," ")</f>
        <v>929.17069196533225</v>
      </c>
      <c r="D91" s="28">
        <f>IF('E-Gilts'!A91&lt;'Adj-Gilts'!$B$10,'E-Gilts'!G91," ")</f>
        <v>99.925977856635114</v>
      </c>
      <c r="E91" s="27">
        <f>IF('E-Gilts'!A91&lt;'Adj-Gilts'!$B$10,'E-Gilts'!D91," ")</f>
        <v>0.44609265191895947</v>
      </c>
      <c r="F91" s="27"/>
      <c r="G91" s="92">
        <f t="shared" si="4"/>
        <v>109</v>
      </c>
      <c r="H91" s="28">
        <f>IF('E-Gilts'!A91&lt;'Adj-Gilts'!$B$10,'E-Gilts'!I91," ")</f>
        <v>68.098784038890287</v>
      </c>
      <c r="I91" s="126">
        <f>IF('E-Gilts'!A91&lt;'Adj-Gilts'!$B$10,'E-Gilts'!A91," ")</f>
        <v>109</v>
      </c>
      <c r="J91" s="26">
        <f>IF('E-Gilts'!A91&lt;'Adj-Gilts'!$B$10,'E-Gilts'!J91," ")</f>
        <v>1024.30328323296</v>
      </c>
      <c r="K91" s="28">
        <f>IF('E-Gilts'!A91&lt;'Adj-Gilts'!$B$10,'E-Gilts'!N91," ")</f>
        <v>124.07709127296751</v>
      </c>
      <c r="L91" s="122">
        <f>IF('E-Gilts'!A91&lt;'Adj-Gilts'!$B$10,'E-Gilts'!K91," ")</f>
        <v>0.39604536466062634</v>
      </c>
      <c r="M91">
        <f>IF('E-Gilts'!A91&lt;'Adj-Gilts'!$B$10,'E-Gilts'!M91," ")</f>
        <v>2.5863281700334797</v>
      </c>
      <c r="N91" s="30">
        <f>IF('E-Gilts'!A91&lt;'Adj-Gilts'!$B$10,1/L91," ")</f>
        <v>2.5249632724698241</v>
      </c>
      <c r="O91" s="19"/>
      <c r="P91" s="31">
        <f t="shared" si="5"/>
        <v>2.2582021898493574</v>
      </c>
      <c r="Q91" s="31">
        <f t="shared" si="6"/>
        <v>5.7018775911805557</v>
      </c>
      <c r="R91" s="31">
        <f t="shared" si="7"/>
        <v>150.13211981253187</v>
      </c>
    </row>
    <row r="92" spans="1:18" x14ac:dyDescent="0.25">
      <c r="A92" s="28">
        <f>IF('E-Gilts'!A92&lt;'Adj-Gilts'!$B$10,'E-Gilts'!B92," ")</f>
        <v>63.175960348502919</v>
      </c>
      <c r="B92" s="26">
        <f>IF('E-Gilts'!A92&lt;'Adj-Gilts'!$B$10,'E-Gilts'!A92," ")</f>
        <v>110</v>
      </c>
      <c r="C92" s="26">
        <f>IF('E-Gilts'!A92&lt;'Adj-Gilts'!$B$10,'E-Gilts'!C92," ")</f>
        <v>931.41357263268537</v>
      </c>
      <c r="D92" s="28">
        <f>IF('E-Gilts'!A92&lt;'Adj-Gilts'!$B$10,'E-Gilts'!G92," ")</f>
        <v>102.02410264559421</v>
      </c>
      <c r="E92" s="27">
        <f>IF('E-Gilts'!A92&lt;'Adj-Gilts'!$B$10,'E-Gilts'!D92," ")</f>
        <v>0.44392668040244265</v>
      </c>
      <c r="F92" s="27"/>
      <c r="G92" s="92">
        <f t="shared" si="4"/>
        <v>110</v>
      </c>
      <c r="H92" s="28">
        <f>IF('E-Gilts'!A92&lt;'Adj-Gilts'!$B$10,'E-Gilts'!I92," ")</f>
        <v>69.125559838800044</v>
      </c>
      <c r="I92" s="126">
        <f>IF('E-Gilts'!A92&lt;'Adj-Gilts'!$B$10,'E-Gilts'!A92," ")</f>
        <v>110</v>
      </c>
      <c r="J92" s="26">
        <f>IF('E-Gilts'!A92&lt;'Adj-Gilts'!$B$10,'E-Gilts'!J92," ")</f>
        <v>1026.775799909751</v>
      </c>
      <c r="K92" s="28">
        <f>IF('E-Gilts'!A92&lt;'Adj-Gilts'!$B$10,'E-Gilts'!N92," ")</f>
        <v>126.68231192254925</v>
      </c>
      <c r="L92" s="122">
        <f>IF('E-Gilts'!A92&lt;'Adj-Gilts'!$B$10,'E-Gilts'!K92," ")</f>
        <v>0.39412239422967815</v>
      </c>
      <c r="M92">
        <f>IF('E-Gilts'!A92&lt;'Adj-Gilts'!$B$10,'E-Gilts'!M92," ")</f>
        <v>2.6052206495817352</v>
      </c>
      <c r="N92" s="30">
        <f>IF('E-Gilts'!A92&lt;'Adj-Gilts'!$B$10,1/L92," ")</f>
        <v>2.537282871110444</v>
      </c>
      <c r="O92" s="19"/>
      <c r="P92" s="31">
        <f t="shared" si="5"/>
        <v>2.263653156047909</v>
      </c>
      <c r="Q92" s="31">
        <f t="shared" si="6"/>
        <v>5.7435283789754559</v>
      </c>
      <c r="R92" s="31">
        <f t="shared" si="7"/>
        <v>152.39577296857979</v>
      </c>
    </row>
    <row r="93" spans="1:18" x14ac:dyDescent="0.25">
      <c r="A93" s="28">
        <f>IF('E-Gilts'!A93&lt;'Adj-Gilts'!$B$10,'E-Gilts'!B93," ")</f>
        <v>64.10949545015221</v>
      </c>
      <c r="B93" s="26">
        <f>IF('E-Gilts'!A93&lt;'Adj-Gilts'!$B$10,'E-Gilts'!A93," ")</f>
        <v>111</v>
      </c>
      <c r="C93" s="26">
        <f>IF('E-Gilts'!A93&lt;'Adj-Gilts'!$B$10,'E-Gilts'!C93," ")</f>
        <v>933.53510164929071</v>
      </c>
      <c r="D93" s="28">
        <f>IF('E-Gilts'!A93&lt;'Adj-Gilts'!$B$10,'E-Gilts'!G93," ")</f>
        <v>104.13723277471598</v>
      </c>
      <c r="E93" s="27">
        <f>IF('E-Gilts'!A93&lt;'Adj-Gilts'!$B$10,'E-Gilts'!D93," ")</f>
        <v>0.44177833100949426</v>
      </c>
      <c r="F93" s="27"/>
      <c r="G93" s="92">
        <f t="shared" si="4"/>
        <v>111</v>
      </c>
      <c r="H93" s="28">
        <f>IF('E-Gilts'!A93&lt;'Adj-Gilts'!$B$10,'E-Gilts'!I93," ")</f>
        <v>70.154674379218918</v>
      </c>
      <c r="I93" s="126">
        <f>IF('E-Gilts'!A93&lt;'Adj-Gilts'!$B$10,'E-Gilts'!A93," ")</f>
        <v>111</v>
      </c>
      <c r="J93" s="26">
        <f>IF('E-Gilts'!A93&lt;'Adj-Gilts'!$B$10,'E-Gilts'!J93," ")</f>
        <v>1029.1145404188671</v>
      </c>
      <c r="K93" s="28">
        <f>IF('E-Gilts'!A93&lt;'Adj-Gilts'!$B$10,'E-Gilts'!N93," ")</f>
        <v>129.30616455353243</v>
      </c>
      <c r="L93" s="122">
        <f>IF('E-Gilts'!A93&lt;'Adj-Gilts'!$B$10,'E-Gilts'!K93," ")</f>
        <v>0.39221506889022545</v>
      </c>
      <c r="M93">
        <f>IF('E-Gilts'!A93&lt;'Adj-Gilts'!$B$10,'E-Gilts'!M93," ")</f>
        <v>2.6238526309831798</v>
      </c>
      <c r="N93" s="30">
        <f>IF('E-Gilts'!A93&lt;'Adj-Gilts'!$B$10,1/L93," ")</f>
        <v>2.5496215707099301</v>
      </c>
      <c r="O93" s="19"/>
      <c r="P93" s="31">
        <f t="shared" si="5"/>
        <v>2.2688091962809409</v>
      </c>
      <c r="Q93" s="31">
        <f t="shared" si="6"/>
        <v>5.7846048666629457</v>
      </c>
      <c r="R93" s="31">
        <f t="shared" si="7"/>
        <v>154.66458216486072</v>
      </c>
    </row>
    <row r="94" spans="1:18" x14ac:dyDescent="0.25">
      <c r="A94" s="28">
        <f>IF('E-Gilts'!A94&lt;'Adj-Gilts'!$B$10,'E-Gilts'!B94," ")</f>
        <v>65.045031924375607</v>
      </c>
      <c r="B94" s="26">
        <f>IF('E-Gilts'!A94&lt;'Adj-Gilts'!$B$10,'E-Gilts'!A94," ")</f>
        <v>112</v>
      </c>
      <c r="C94" s="26">
        <f>IF('E-Gilts'!A94&lt;'Adj-Gilts'!$B$10,'E-Gilts'!C94," ")</f>
        <v>935.53647422339736</v>
      </c>
      <c r="D94" s="28">
        <f>IF('E-Gilts'!A94&lt;'Adj-Gilts'!$B$10,'E-Gilts'!G94," ")</f>
        <v>106.2651595480918</v>
      </c>
      <c r="E94" s="27">
        <f>IF('E-Gilts'!A94&lt;'Adj-Gilts'!$B$10,'E-Gilts'!D94," ")</f>
        <v>0.43964693049057663</v>
      </c>
      <c r="F94" s="27"/>
      <c r="G94" s="92">
        <f t="shared" si="4"/>
        <v>112</v>
      </c>
      <c r="H94" s="28">
        <f>IF('E-Gilts'!A94&lt;'Adj-Gilts'!$B$10,'E-Gilts'!I94," ")</f>
        <v>71.185995201558171</v>
      </c>
      <c r="I94" s="126">
        <f>IF('E-Gilts'!A94&lt;'Adj-Gilts'!$B$10,'E-Gilts'!A94," ")</f>
        <v>112</v>
      </c>
      <c r="J94" s="26">
        <f>IF('E-Gilts'!A94&lt;'Adj-Gilts'!$B$10,'E-Gilts'!J94," ")</f>
        <v>1031.3208223392469</v>
      </c>
      <c r="K94" s="28">
        <f>IF('E-Gilts'!A94&lt;'Adj-Gilts'!$B$10,'E-Gilts'!N94," ")</f>
        <v>131.94839003028628</v>
      </c>
      <c r="L94" s="122">
        <f>IF('E-Gilts'!A94&lt;'Adj-Gilts'!$B$10,'E-Gilts'!K94," ")</f>
        <v>0.39032279092482663</v>
      </c>
      <c r="M94">
        <f>IF('E-Gilts'!A94&lt;'Adj-Gilts'!$B$10,'E-Gilts'!M94," ")</f>
        <v>2.6422254767538593</v>
      </c>
      <c r="N94" s="30">
        <f>IF('E-Gilts'!A94&lt;'Adj-Gilts'!$B$10,1/L94," ")</f>
        <v>2.5619820908500133</v>
      </c>
      <c r="O94" s="19"/>
      <c r="P94" s="31">
        <f t="shared" si="5"/>
        <v>2.2736732153127859</v>
      </c>
      <c r="Q94" s="31">
        <f t="shared" si="6"/>
        <v>5.8251100580767243</v>
      </c>
      <c r="R94" s="31">
        <f t="shared" si="7"/>
        <v>156.93825538017353</v>
      </c>
    </row>
    <row r="95" spans="1:18" x14ac:dyDescent="0.25">
      <c r="A95" s="28">
        <f>IF('E-Gilts'!A95&lt;'Adj-Gilts'!$B$10,'E-Gilts'!B95," ")</f>
        <v>65.982450832889526</v>
      </c>
      <c r="B95" s="26">
        <f>IF('E-Gilts'!A95&lt;'Adj-Gilts'!$B$10,'E-Gilts'!A95," ")</f>
        <v>113</v>
      </c>
      <c r="C95" s="26">
        <f>IF('E-Gilts'!A95&lt;'Adj-Gilts'!$B$10,'E-Gilts'!C95," ")</f>
        <v>937.41890851391929</v>
      </c>
      <c r="D95" s="28">
        <f>IF('E-Gilts'!A95&lt;'Adj-Gilts'!$B$10,'E-Gilts'!G95," ")</f>
        <v>108.40767545248147</v>
      </c>
      <c r="E95" s="27">
        <f>IF('E-Gilts'!A95&lt;'Adj-Gilts'!$B$10,'E-Gilts'!D95," ")</f>
        <v>0.43753183189599654</v>
      </c>
      <c r="F95" s="27"/>
      <c r="G95" s="92">
        <f t="shared" si="4"/>
        <v>113</v>
      </c>
      <c r="H95" s="28">
        <f>IF('E-Gilts'!A95&lt;'Adj-Gilts'!$B$10,'E-Gilts'!I95," ")</f>
        <v>72.219391190108453</v>
      </c>
      <c r="I95" s="126">
        <f>IF('E-Gilts'!A95&lt;'Adj-Gilts'!$B$10,'E-Gilts'!A95," ")</f>
        <v>113</v>
      </c>
      <c r="J95" s="26">
        <f>IF('E-Gilts'!A95&lt;'Adj-Gilts'!$B$10,'E-Gilts'!J95," ")</f>
        <v>1033.3959885502834</v>
      </c>
      <c r="K95" s="28">
        <f>IF('E-Gilts'!A95&lt;'Adj-Gilts'!$B$10,'E-Gilts'!N95," ")</f>
        <v>134.60873068568762</v>
      </c>
      <c r="L95" s="122">
        <f>IF('E-Gilts'!A95&lt;'Adj-Gilts'!$B$10,'E-Gilts'!K95," ")</f>
        <v>0.38844498596529586</v>
      </c>
      <c r="M95">
        <f>IF('E-Gilts'!A95&lt;'Adj-Gilts'!$B$10,'E-Gilts'!M95," ")</f>
        <v>2.6603406554013502</v>
      </c>
      <c r="N95" s="30">
        <f>IF('E-Gilts'!A95&lt;'Adj-Gilts'!$B$10,1/L95," ")</f>
        <v>2.5743671205202303</v>
      </c>
      <c r="O95" s="19"/>
      <c r="P95" s="31">
        <f t="shared" si="5"/>
        <v>2.2782481736857334</v>
      </c>
      <c r="Q95" s="31">
        <f t="shared" si="6"/>
        <v>5.8650471907218149</v>
      </c>
      <c r="R95" s="31">
        <f t="shared" si="7"/>
        <v>159.21650355385927</v>
      </c>
    </row>
    <row r="96" spans="1:18" x14ac:dyDescent="0.25">
      <c r="A96" s="28">
        <f>IF('E-Gilts'!A96&lt;'Adj-Gilts'!$B$10,'E-Gilts'!B96," ")</f>
        <v>66.92163447736219</v>
      </c>
      <c r="B96" s="26">
        <f>IF('E-Gilts'!A96&lt;'Adj-Gilts'!$B$10,'E-Gilts'!A96," ")</f>
        <v>114</v>
      </c>
      <c r="C96" s="26">
        <f>IF('E-Gilts'!A96&lt;'Adj-Gilts'!$B$10,'E-Gilts'!C96," ")</f>
        <v>939.18364447266356</v>
      </c>
      <c r="D96" s="28">
        <f>IF('E-Gilts'!A96&lt;'Adj-Gilts'!$B$10,'E-Gilts'!G96," ")</f>
        <v>110.56457423806333</v>
      </c>
      <c r="E96" s="27">
        <f>IF('E-Gilts'!A96&lt;'Adj-Gilts'!$B$10,'E-Gilts'!D96," ")</f>
        <v>0.4354324137742524</v>
      </c>
      <c r="F96" s="27"/>
      <c r="G96" s="92">
        <f t="shared" si="4"/>
        <v>114</v>
      </c>
      <c r="H96" s="28">
        <f>IF('E-Gilts'!A96&lt;'Adj-Gilts'!$B$10,'E-Gilts'!I96," ")</f>
        <v>73.254732596063974</v>
      </c>
      <c r="I96" s="126">
        <f>IF('E-Gilts'!A96&lt;'Adj-Gilts'!$B$10,'E-Gilts'!A96," ")</f>
        <v>114</v>
      </c>
      <c r="J96" s="26">
        <f>IF('E-Gilts'!A96&lt;'Adj-Gilts'!$B$10,'E-Gilts'!J96," ")</f>
        <v>1035.3414059555155</v>
      </c>
      <c r="K96" s="28">
        <f>IF('E-Gilts'!A96&lt;'Adj-Gilts'!$B$10,'E-Gilts'!N96," ")</f>
        <v>137.28693042138752</v>
      </c>
      <c r="L96" s="122">
        <f>IF('E-Gilts'!A96&lt;'Adj-Gilts'!$B$10,'E-Gilts'!K96," ")</f>
        <v>0.38658110228098819</v>
      </c>
      <c r="M96">
        <f>IF('E-Gilts'!A96&lt;'Adj-Gilts'!$B$10,'E-Gilts'!M96," ")</f>
        <v>2.6781997356998919</v>
      </c>
      <c r="N96" s="30">
        <f>IF('E-Gilts'!A96&lt;'Adj-Gilts'!$B$10,1/L96," ")</f>
        <v>2.5867793177151883</v>
      </c>
      <c r="O96" s="19"/>
      <c r="P96" s="31">
        <f t="shared" si="5"/>
        <v>2.2825370849062461</v>
      </c>
      <c r="Q96" s="31">
        <f t="shared" si="6"/>
        <v>5.9044197231533939</v>
      </c>
      <c r="R96" s="31">
        <f t="shared" si="7"/>
        <v>161.49904063876554</v>
      </c>
    </row>
    <row r="97" spans="1:18" x14ac:dyDescent="0.25">
      <c r="A97" s="28">
        <f>IF('E-Gilts'!A97&lt;'Adj-Gilts'!$B$10,'E-Gilts'!B97," ")</f>
        <v>67.862466420061367</v>
      </c>
      <c r="B97" s="26">
        <f>IF('E-Gilts'!A97&lt;'Adj-Gilts'!$B$10,'E-Gilts'!A97," ")</f>
        <v>115</v>
      </c>
      <c r="C97" s="26">
        <f>IF('E-Gilts'!A97&lt;'Adj-Gilts'!$B$10,'E-Gilts'!C97," ")</f>
        <v>940.83194269917669</v>
      </c>
      <c r="D97" s="28">
        <f>IF('E-Gilts'!A97&lt;'Adj-Gilts'!$B$10,'E-Gilts'!G97," ")</f>
        <v>112.73565099469133</v>
      </c>
      <c r="E97" s="27">
        <f>IF('E-Gilts'!A97&lt;'Adj-Gilts'!$B$10,'E-Gilts'!D97," ")</f>
        <v>0.43334807939283848</v>
      </c>
      <c r="F97" s="27"/>
      <c r="G97" s="92">
        <f t="shared" si="4"/>
        <v>115</v>
      </c>
      <c r="H97" s="28">
        <f>IF('E-Gilts'!A97&lt;'Adj-Gilts'!$B$10,'E-Gilts'!I97," ")</f>
        <v>74.2918910602842</v>
      </c>
      <c r="I97" s="126">
        <f>IF('E-Gilts'!A97&lt;'Adj-Gilts'!$B$10,'E-Gilts'!A97," ")</f>
        <v>115</v>
      </c>
      <c r="J97" s="26">
        <f>IF('E-Gilts'!A97&lt;'Adj-Gilts'!$B$10,'E-Gilts'!J97," ")</f>
        <v>1037.1584642202283</v>
      </c>
      <c r="K97" s="28">
        <f>IF('E-Gilts'!A97&lt;'Adj-Gilts'!$B$10,'E-Gilts'!N97," ")</f>
        <v>139.98273480249884</v>
      </c>
      <c r="L97" s="122">
        <f>IF('E-Gilts'!A97&lt;'Adj-Gilts'!$B$10,'E-Gilts'!K97," ")</f>
        <v>0.38473061008702192</v>
      </c>
      <c r="M97">
        <f>IF('E-Gilts'!A97&lt;'Adj-Gilts'!$B$10,'E-Gilts'!M97," ")</f>
        <v>2.6958043811113295</v>
      </c>
      <c r="N97" s="30">
        <f>IF('E-Gilts'!A97&lt;'Adj-Gilts'!$B$10,1/L97," ")</f>
        <v>2.599221309096801</v>
      </c>
      <c r="O97" s="19"/>
      <c r="P97" s="31">
        <f t="shared" si="5"/>
        <v>2.2865430126618493</v>
      </c>
      <c r="Q97" s="31">
        <f t="shared" si="6"/>
        <v>5.9432313226770752</v>
      </c>
      <c r="R97" s="31">
        <f t="shared" si="7"/>
        <v>163.78558365142737</v>
      </c>
    </row>
    <row r="98" spans="1:18" x14ac:dyDescent="0.25">
      <c r="A98" s="28">
        <f>IF('E-Gilts'!A98&lt;'Adj-Gilts'!$B$10,'E-Gilts'!B98," ")</f>
        <v>68.804831503371915</v>
      </c>
      <c r="B98" s="26">
        <f>IF('E-Gilts'!A98&lt;'Adj-Gilts'!$B$10,'E-Gilts'!A98," ")</f>
        <v>116</v>
      </c>
      <c r="C98" s="26">
        <f>IF('E-Gilts'!A98&lt;'Adj-Gilts'!$B$10,'E-Gilts'!C98," ")</f>
        <v>942.36508331054836</v>
      </c>
      <c r="D98" s="28">
        <f>IF('E-Gilts'!A98&lt;'Adj-Gilts'!$B$10,'E-Gilts'!G98," ")</f>
        <v>114.9207022237774</v>
      </c>
      <c r="E98" s="27">
        <f>IF('E-Gilts'!A98&lt;'Adj-Gilts'!$B$10,'E-Gilts'!D98," ")</f>
        <v>0.43127825598153524</v>
      </c>
      <c r="F98" s="27"/>
      <c r="G98" s="92">
        <f t="shared" si="4"/>
        <v>116</v>
      </c>
      <c r="H98" s="28">
        <f>IF('E-Gilts'!A98&lt;'Adj-Gilts'!$B$10,'E-Gilts'!I98," ")</f>
        <v>75.330739634809746</v>
      </c>
      <c r="I98" s="126">
        <f>IF('E-Gilts'!A98&lt;'Adj-Gilts'!$B$10,'E-Gilts'!A98," ")</f>
        <v>116</v>
      </c>
      <c r="J98" s="26">
        <f>IF('E-Gilts'!A98&lt;'Adj-Gilts'!$B$10,'E-Gilts'!J98," ")</f>
        <v>1038.8485745255416</v>
      </c>
      <c r="K98" s="28">
        <f>IF('E-Gilts'!A98&lt;'Adj-Gilts'!$B$10,'E-Gilts'!N98," ")</f>
        <v>142.69589114685198</v>
      </c>
      <c r="L98" s="122">
        <f>IF('E-Gilts'!A98&lt;'Adj-Gilts'!$B$10,'E-Gilts'!K98," ")</f>
        <v>0.38289300087246436</v>
      </c>
      <c r="M98">
        <f>IF('E-Gilts'!A98&lt;'Adj-Gilts'!$B$10,'E-Gilts'!M98," ")</f>
        <v>2.7131563443531466</v>
      </c>
      <c r="N98" s="30">
        <f>IF('E-Gilts'!A98&lt;'Adj-Gilts'!$B$10,1/L98," ")</f>
        <v>2.6116956897132844</v>
      </c>
      <c r="O98" s="19"/>
      <c r="P98" s="31">
        <f t="shared" si="5"/>
        <v>2.2902690680743629</v>
      </c>
      <c r="Q98" s="31">
        <f t="shared" si="6"/>
        <v>5.9814858533734734</v>
      </c>
      <c r="R98" s="31">
        <f t="shared" si="7"/>
        <v>166.07585271950177</v>
      </c>
    </row>
    <row r="99" spans="1:18" x14ac:dyDescent="0.25">
      <c r="A99" s="28">
        <f>IF('E-Gilts'!A99&lt;'Adj-Gilts'!$B$10,'E-Gilts'!B99," ")</f>
        <v>69.748615868196353</v>
      </c>
      <c r="B99" s="26">
        <f>IF('E-Gilts'!A99&lt;'Adj-Gilts'!$B$10,'E-Gilts'!A99," ")</f>
        <v>117</v>
      </c>
      <c r="C99" s="26">
        <f>IF('E-Gilts'!A99&lt;'Adj-Gilts'!$B$10,'E-Gilts'!C99," ")</f>
        <v>943.78436482443817</v>
      </c>
      <c r="D99" s="28">
        <f>IF('E-Gilts'!A99&lt;'Adj-Gilts'!$B$10,'E-Gilts'!G99," ")</f>
        <v>117.11952590591838</v>
      </c>
      <c r="E99" s="27">
        <f>IF('E-Gilts'!A99&lt;'Adj-Gilts'!$B$10,'E-Gilts'!D99," ")</f>
        <v>0.42922239399635875</v>
      </c>
      <c r="F99" s="27"/>
      <c r="G99" s="92">
        <f t="shared" si="4"/>
        <v>117</v>
      </c>
      <c r="H99" s="28">
        <f>IF('E-Gilts'!A99&lt;'Adj-Gilts'!$B$10,'E-Gilts'!I99," ")</f>
        <v>76.371152803146828</v>
      </c>
      <c r="I99" s="126">
        <f>IF('E-Gilts'!A99&lt;'Adj-Gilts'!$B$10,'E-Gilts'!A99," ")</f>
        <v>117</v>
      </c>
      <c r="J99" s="26">
        <f>IF('E-Gilts'!A99&lt;'Adj-Gilts'!$B$10,'E-Gilts'!J99," ")</f>
        <v>1040.4131683370772</v>
      </c>
      <c r="K99" s="28">
        <f>IF('E-Gilts'!A99&lt;'Adj-Gilts'!$B$10,'E-Gilts'!N99," ")</f>
        <v>145.42614860896649</v>
      </c>
      <c r="L99" s="122">
        <f>IF('E-Gilts'!A99&lt;'Adj-Gilts'!$B$10,'E-Gilts'!K99," ")</f>
        <v>0.38106778674685921</v>
      </c>
      <c r="M99">
        <f>IF('E-Gilts'!A99&lt;'Adj-Gilts'!$B$10,'E-Gilts'!M99," ")</f>
        <v>2.7302574621145208</v>
      </c>
      <c r="N99" s="30">
        <f>IF('E-Gilts'!A99&lt;'Adj-Gilts'!$B$10,1/L99," ")</f>
        <v>2.6242050227779901</v>
      </c>
      <c r="O99" s="19"/>
      <c r="P99" s="31">
        <f t="shared" si="5"/>
        <v>2.293718406985279</v>
      </c>
      <c r="Q99" s="31">
        <f t="shared" si="6"/>
        <v>6.019187364449099</v>
      </c>
      <c r="R99" s="31">
        <f t="shared" si="7"/>
        <v>168.36957112648705</v>
      </c>
    </row>
    <row r="100" spans="1:18" x14ac:dyDescent="0.25">
      <c r="A100" s="28">
        <f>IF('E-Gilts'!A100&lt;'Adj-Gilts'!$B$10,'E-Gilts'!B100," ")</f>
        <v>70.693706971254755</v>
      </c>
      <c r="B100" s="26">
        <f>IF('E-Gilts'!A100&lt;'Adj-Gilts'!$B$10,'E-Gilts'!A100," ")</f>
        <v>118</v>
      </c>
      <c r="C100" s="26">
        <f>IF('E-Gilts'!A100&lt;'Adj-Gilts'!$B$10,'E-Gilts'!C100," ")</f>
        <v>945.09110305840238</v>
      </c>
      <c r="D100" s="28">
        <f>IF('E-Gilts'!A100&lt;'Adj-Gilts'!$B$10,'E-Gilts'!G100," ")</f>
        <v>119.33192156438716</v>
      </c>
      <c r="E100" s="27">
        <f>IF('E-Gilts'!A100&lt;'Adj-Gilts'!$B$10,'E-Gilts'!D100," ")</f>
        <v>0.42717996640461114</v>
      </c>
      <c r="F100" s="27"/>
      <c r="G100" s="92">
        <f t="shared" si="4"/>
        <v>118</v>
      </c>
      <c r="H100" s="28">
        <f>IF('E-Gilts'!A100&lt;'Adj-Gilts'!$B$10,'E-Gilts'!I100," ")</f>
        <v>77.413006499338422</v>
      </c>
      <c r="I100" s="126">
        <f>IF('E-Gilts'!A100&lt;'Adj-Gilts'!$B$10,'E-Gilts'!A100," ")</f>
        <v>118</v>
      </c>
      <c r="J100" s="26">
        <f>IF('E-Gilts'!A100&lt;'Adj-Gilts'!$B$10,'E-Gilts'!J100," ")</f>
        <v>1041.8536961915929</v>
      </c>
      <c r="K100" s="28">
        <f>IF('E-Gilts'!A100&lt;'Adj-Gilts'!$B$10,'E-Gilts'!N100," ")</f>
        <v>148.17325825888742</v>
      </c>
      <c r="L100" s="122">
        <f>IF('E-Gilts'!A100&lt;'Adj-Gilts'!$B$10,'E-Gilts'!K100," ")</f>
        <v>0.37925449980548731</v>
      </c>
      <c r="M100">
        <f>IF('E-Gilts'!A100&lt;'Adj-Gilts'!$B$10,'E-Gilts'!M100," ")</f>
        <v>2.7471096499209389</v>
      </c>
      <c r="N100" s="30">
        <f>IF('E-Gilts'!A100&lt;'Adj-Gilts'!$B$10,1/L100," ")</f>
        <v>2.636751839497967</v>
      </c>
      <c r="O100" s="19"/>
      <c r="P100" s="31">
        <f t="shared" si="5"/>
        <v>2.2968942272807475</v>
      </c>
      <c r="Q100" s="31">
        <f t="shared" si="6"/>
        <v>6.056340078914773</v>
      </c>
      <c r="R100" s="31">
        <f t="shared" si="7"/>
        <v>170.66646535376779</v>
      </c>
    </row>
    <row r="101" spans="1:18" x14ac:dyDescent="0.25">
      <c r="A101" s="28">
        <f>IF('E-Gilts'!A101&lt;'Adj-Gilts'!$B$10,'E-Gilts'!B101," ")</f>
        <v>71.639993601298841</v>
      </c>
      <c r="B101" s="26">
        <f>IF('E-Gilts'!A101&lt;'Adj-Gilts'!$B$10,'E-Gilts'!A101," ")</f>
        <v>119</v>
      </c>
      <c r="C101" s="26">
        <f>IF('E-Gilts'!A101&lt;'Adj-Gilts'!$B$10,'E-Gilts'!C101," ")</f>
        <v>946.28663004408509</v>
      </c>
      <c r="D101" s="28">
        <f>IF('E-Gilts'!A101&lt;'Adj-Gilts'!$B$10,'E-Gilts'!G101," ")</f>
        <v>121.55769032460789</v>
      </c>
      <c r="E101" s="27">
        <f>IF('E-Gilts'!A101&lt;'Adj-Gilts'!$B$10,'E-Gilts'!D101," ")</f>
        <v>0.42515046798942407</v>
      </c>
      <c r="F101" s="27"/>
      <c r="G101" s="92">
        <f t="shared" si="4"/>
        <v>119</v>
      </c>
      <c r="H101" s="28">
        <f>IF('E-Gilts'!A101&lt;'Adj-Gilts'!$B$10,'E-Gilts'!I101," ")</f>
        <v>78.45617812583842</v>
      </c>
      <c r="I101" s="126">
        <f>IF('E-Gilts'!A101&lt;'Adj-Gilts'!$B$10,'E-Gilts'!A101," ")</f>
        <v>119</v>
      </c>
      <c r="J101" s="26">
        <f>IF('E-Gilts'!A101&lt;'Adj-Gilts'!$B$10,'E-Gilts'!J101," ")</f>
        <v>1043.1716265000039</v>
      </c>
      <c r="K101" s="28">
        <f>IF('E-Gilts'!A101&lt;'Adj-Gilts'!$B$10,'E-Gilts'!N101," ")</f>
        <v>150.93697315603507</v>
      </c>
      <c r="L101" s="122">
        <f>IF('E-Gilts'!A101&lt;'Adj-Gilts'!$B$10,'E-Gilts'!K101," ")</f>
        <v>0.37745269151193367</v>
      </c>
      <c r="M101">
        <f>IF('E-Gilts'!A101&lt;'Adj-Gilts'!$B$10,'E-Gilts'!M101," ")</f>
        <v>2.7637148971476408</v>
      </c>
      <c r="N101" s="30">
        <f>IF('E-Gilts'!A101&lt;'Adj-Gilts'!$B$10,1/L101," ")</f>
        <v>2.6493386389546614</v>
      </c>
      <c r="O101" s="19"/>
      <c r="P101" s="31">
        <f t="shared" si="5"/>
        <v>2.2997997662526903</v>
      </c>
      <c r="Q101" s="31">
        <f t="shared" si="6"/>
        <v>6.0929483825921515</v>
      </c>
      <c r="R101" s="31">
        <f t="shared" si="7"/>
        <v>172.96626512002047</v>
      </c>
    </row>
    <row r="102" spans="1:18" x14ac:dyDescent="0.25">
      <c r="A102" s="28">
        <f>IF('E-Gilts'!A102&lt;'Adj-Gilts'!$B$10,'E-Gilts'!B102," ")</f>
        <v>72.587365894257189</v>
      </c>
      <c r="B102" s="26">
        <f>IF('E-Gilts'!A102&lt;'Adj-Gilts'!$B$10,'E-Gilts'!A102," ")</f>
        <v>120</v>
      </c>
      <c r="C102" s="26">
        <f>IF('E-Gilts'!A102&lt;'Adj-Gilts'!$B$10,'E-Gilts'!C102," ")</f>
        <v>947.37229295834879</v>
      </c>
      <c r="D102" s="28">
        <f>IF('E-Gilts'!A102&lt;'Adj-Gilts'!$B$10,'E-Gilts'!G102," ")</f>
        <v>123.79663496973504</v>
      </c>
      <c r="E102" s="27">
        <f>IF('E-Gilts'!A102&lt;'Adj-Gilts'!$B$10,'E-Gilts'!D102," ")</f>
        <v>0.42313341467383547</v>
      </c>
      <c r="F102" s="27"/>
      <c r="G102" s="92">
        <f t="shared" si="4"/>
        <v>120</v>
      </c>
      <c r="H102" s="28">
        <f>IF('E-Gilts'!A102&lt;'Adj-Gilts'!$B$10,'E-Gilts'!I102," ")</f>
        <v>79.500546570207504</v>
      </c>
      <c r="I102" s="126">
        <f>IF('E-Gilts'!A102&lt;'Adj-Gilts'!$B$10,'E-Gilts'!A102," ")</f>
        <v>120</v>
      </c>
      <c r="J102" s="26">
        <f>IF('E-Gilts'!A102&lt;'Adj-Gilts'!$B$10,'E-Gilts'!J102," ")</f>
        <v>1044.3684443690786</v>
      </c>
      <c r="K102" s="28">
        <f>IF('E-Gilts'!A102&lt;'Adj-Gilts'!$B$10,'E-Gilts'!N102," ")</f>
        <v>153.71704841821693</v>
      </c>
      <c r="L102" s="122">
        <f>IF('E-Gilts'!A102&lt;'Adj-Gilts'!$B$10,'E-Gilts'!K102," ")</f>
        <v>0.3756619320979962</v>
      </c>
      <c r="M102">
        <f>IF('E-Gilts'!A102&lt;'Adj-Gilts'!$B$10,'E-Gilts'!M102," ")</f>
        <v>2.7800752621818541</v>
      </c>
      <c r="N102" s="30">
        <f>IF('E-Gilts'!A102&lt;'Adj-Gilts'!$B$10,1/L102," ")</f>
        <v>2.6619678880295417</v>
      </c>
      <c r="O102" s="19"/>
      <c r="P102" s="31">
        <f t="shared" si="5"/>
        <v>2.3024382980010851</v>
      </c>
      <c r="Q102" s="31">
        <f t="shared" si="6"/>
        <v>6.1290168134482821</v>
      </c>
      <c r="R102" s="31">
        <f t="shared" si="7"/>
        <v>175.26870341802157</v>
      </c>
    </row>
    <row r="103" spans="1:18" x14ac:dyDescent="0.25">
      <c r="A103" s="28">
        <f>IF('E-Gilts'!A103&lt;'Adj-Gilts'!$B$10,'E-Gilts'!B103," ")</f>
        <v>73.535715347328164</v>
      </c>
      <c r="B103" s="26">
        <f>IF('E-Gilts'!A103&lt;'Adj-Gilts'!$B$10,'E-Gilts'!A103," ")</f>
        <v>121</v>
      </c>
      <c r="C103" s="26">
        <f>IF('E-Gilts'!A103&lt;'Adj-Gilts'!$B$10,'E-Gilts'!C103," ")</f>
        <v>948.34945307097485</v>
      </c>
      <c r="D103" s="28">
        <f>IF('E-Gilts'!A103&lt;'Adj-Gilts'!$B$10,'E-Gilts'!G103," ")</f>
        <v>126.04855999245588</v>
      </c>
      <c r="E103" s="27">
        <f>IF('E-Gilts'!A103&lt;'Adj-Gilts'!$B$10,'E-Gilts'!D103," ")</f>
        <v>0.4211283428633647</v>
      </c>
      <c r="F103" s="27"/>
      <c r="G103" s="92">
        <f t="shared" si="4"/>
        <v>121</v>
      </c>
      <c r="H103" s="28">
        <f>IF('E-Gilts'!A103&lt;'Adj-Gilts'!$B$10,'E-Gilts'!I103," ")</f>
        <v>80.545992220648898</v>
      </c>
      <c r="I103" s="126">
        <f>IF('E-Gilts'!A103&lt;'Adj-Gilts'!$B$10,'E-Gilts'!A103," ")</f>
        <v>121</v>
      </c>
      <c r="J103" s="26">
        <f>IF('E-Gilts'!A103&lt;'Adj-Gilts'!$B$10,'E-Gilts'!J103," ")</f>
        <v>1045.445650441399</v>
      </c>
      <c r="K103" s="28">
        <f>IF('E-Gilts'!A103&lt;'Adj-Gilts'!$B$10,'E-Gilts'!N103," ")</f>
        <v>156.51324128595039</v>
      </c>
      <c r="L103" s="122">
        <f>IF('E-Gilts'!A103&lt;'Adj-Gilts'!$B$10,'E-Gilts'!K103," ")</f>
        <v>0.37388180998001763</v>
      </c>
      <c r="M103">
        <f>IF('E-Gilts'!A103&lt;'Adj-Gilts'!$B$10,'E-Gilts'!M103," ")</f>
        <v>2.7961928677334522</v>
      </c>
      <c r="N103" s="30">
        <f>IF('E-Gilts'!A103&lt;'Adj-Gilts'!$B$10,1/L103," ")</f>
        <v>2.6746420213742028</v>
      </c>
      <c r="O103" s="19"/>
      <c r="P103" s="31">
        <f t="shared" si="5"/>
        <v>2.3048131308765156</v>
      </c>
      <c r="Q103" s="31">
        <f t="shared" si="6"/>
        <v>6.1645500512573701</v>
      </c>
      <c r="R103" s="31">
        <f t="shared" si="7"/>
        <v>177.57351654889808</v>
      </c>
    </row>
    <row r="104" spans="1:18" x14ac:dyDescent="0.25">
      <c r="A104" s="28">
        <f>IF('E-Gilts'!A104&lt;'Adj-Gilts'!$B$10,'E-Gilts'!B104," ")</f>
        <v>74.484934832037936</v>
      </c>
      <c r="B104" s="26">
        <f>IF('E-Gilts'!A104&lt;'Adj-Gilts'!$B$10,'E-Gilts'!A104," ")</f>
        <v>122</v>
      </c>
      <c r="C104" s="26">
        <f>IF('E-Gilts'!A104&lt;'Adj-Gilts'!$B$10,'E-Gilts'!C104," ")</f>
        <v>949.21948470977213</v>
      </c>
      <c r="D104" s="28">
        <f>IF('E-Gilts'!A104&lt;'Adj-Gilts'!$B$10,'E-Gilts'!G104," ")</f>
        <v>128.31327164313552</v>
      </c>
      <c r="E104" s="27">
        <f>IF('E-Gilts'!A104&lt;'Adj-Gilts'!$B$10,'E-Gilts'!D104," ")</f>
        <v>0.41913480880663506</v>
      </c>
      <c r="F104" s="27"/>
      <c r="G104" s="92">
        <f t="shared" si="4"/>
        <v>122</v>
      </c>
      <c r="H104" s="28">
        <f>IF('E-Gilts'!A104&lt;'Adj-Gilts'!$B$10,'E-Gilts'!I104," ")</f>
        <v>81.592396980403407</v>
      </c>
      <c r="I104" s="126">
        <f>IF('E-Gilts'!A104&lt;'Adj-Gilts'!$B$10,'E-Gilts'!A104," ")</f>
        <v>122</v>
      </c>
      <c r="J104" s="26">
        <f>IF('E-Gilts'!A104&lt;'Adj-Gilts'!$B$10,'E-Gilts'!J104," ")</f>
        <v>1046.404759754513</v>
      </c>
      <c r="K104" s="28">
        <f>IF('E-Gilts'!A104&lt;'Adj-Gilts'!$B$10,'E-Gilts'!N104," ")</f>
        <v>159.32531118224387</v>
      </c>
      <c r="L104" s="122">
        <f>IF('E-Gilts'!A104&lt;'Adj-Gilts'!$B$10,'E-Gilts'!K104," ")</f>
        <v>0.37211193119124014</v>
      </c>
      <c r="M104">
        <f>IF('E-Gilts'!A104&lt;'Adj-Gilts'!$B$10,'E-Gilts'!M104," ")</f>
        <v>2.8120698962934685</v>
      </c>
      <c r="N104" s="30">
        <f>IF('E-Gilts'!A104&lt;'Adj-Gilts'!$B$10,1/L104," ")</f>
        <v>2.6873634414212542</v>
      </c>
      <c r="O104" s="19"/>
      <c r="P104" s="31">
        <f t="shared" si="5"/>
        <v>2.3069276049650327</v>
      </c>
      <c r="Q104" s="31">
        <f t="shared" si="6"/>
        <v>6.1995529075885214</v>
      </c>
      <c r="R104" s="31">
        <f t="shared" si="7"/>
        <v>179.8804441538631</v>
      </c>
    </row>
    <row r="105" spans="1:18" x14ac:dyDescent="0.25">
      <c r="A105" s="28">
        <f>IF('E-Gilts'!A105&lt;'Adj-Gilts'!$B$10,'E-Gilts'!B105," ")</f>
        <v>75.434918606281556</v>
      </c>
      <c r="B105" s="26">
        <f>IF('E-Gilts'!A105&lt;'Adj-Gilts'!$B$10,'E-Gilts'!A105," ")</f>
        <v>123</v>
      </c>
      <c r="C105" s="26">
        <f>IF('E-Gilts'!A105&lt;'Adj-Gilts'!$B$10,'E-Gilts'!C105," ")</f>
        <v>949.98377424361991</v>
      </c>
      <c r="D105" s="28">
        <f>IF('E-Gilts'!A105&lt;'Adj-Gilts'!$B$10,'E-Gilts'!G105," ")</f>
        <v>130.59057797442276</v>
      </c>
      <c r="E105" s="27">
        <f>IF('E-Gilts'!A105&lt;'Adj-Gilts'!$B$10,'E-Gilts'!D105," ")</f>
        <v>0.41715238797348875</v>
      </c>
      <c r="F105" s="27"/>
      <c r="G105" s="92">
        <f t="shared" si="4"/>
        <v>123</v>
      </c>
      <c r="H105" s="28">
        <f>IF('E-Gilts'!A105&lt;'Adj-Gilts'!$B$10,'E-Gilts'!I105," ")</f>
        <v>82.639644281023266</v>
      </c>
      <c r="I105" s="126">
        <f>IF('E-Gilts'!A105&lt;'Adj-Gilts'!$B$10,'E-Gilts'!A105," ")</f>
        <v>123</v>
      </c>
      <c r="J105" s="26">
        <f>IF('E-Gilts'!A105&lt;'Adj-Gilts'!$B$10,'E-Gilts'!J105," ")</f>
        <v>1047.2473006198572</v>
      </c>
      <c r="K105" s="28">
        <f>IF('E-Gilts'!A105&lt;'Adj-Gilts'!$B$10,'E-Gilts'!N105," ")</f>
        <v>162.15301976798349</v>
      </c>
      <c r="L105" s="122">
        <f>IF('E-Gilts'!A105&lt;'Adj-Gilts'!$B$10,'E-Gilts'!K105," ")</f>
        <v>0.37035191882968954</v>
      </c>
      <c r="M105">
        <f>IF('E-Gilts'!A105&lt;'Adj-Gilts'!$B$10,'E-Gilts'!M105," ")</f>
        <v>2.8277085857396234</v>
      </c>
      <c r="N105" s="30">
        <f>IF('E-Gilts'!A105&lt;'Adj-Gilts'!$B$10,1/L105," ")</f>
        <v>2.7001345184331584</v>
      </c>
      <c r="O105" s="19"/>
      <c r="P105" s="31">
        <f t="shared" si="5"/>
        <v>2.3087850896166029</v>
      </c>
      <c r="Q105" s="31">
        <f t="shared" si="6"/>
        <v>6.2340303161175825</v>
      </c>
      <c r="R105" s="31">
        <f t="shared" si="7"/>
        <v>182.1892292434797</v>
      </c>
    </row>
    <row r="106" spans="1:18" x14ac:dyDescent="0.25">
      <c r="A106" s="28">
        <f>IF('E-Gilts'!A106&lt;'Adj-Gilts'!$B$10,'E-Gilts'!B106," ")</f>
        <v>76.385562325365271</v>
      </c>
      <c r="B106" s="26">
        <f>IF('E-Gilts'!A106&lt;'Adj-Gilts'!$B$10,'E-Gilts'!A106," ")</f>
        <v>124</v>
      </c>
      <c r="C106" s="26">
        <f>IF('E-Gilts'!A106&lt;'Adj-Gilts'!$B$10,'E-Gilts'!C106," ")</f>
        <v>950.6437190837147</v>
      </c>
      <c r="D106" s="28">
        <f>IF('E-Gilts'!A106&lt;'Adj-Gilts'!$B$10,'E-Gilts'!G106," ")</f>
        <v>132.8802888824344</v>
      </c>
      <c r="E106" s="27">
        <f>IF('E-Gilts'!A106&lt;'Adj-Gilts'!$B$10,'E-Gilts'!D106," ")</f>
        <v>0.41518067444996476</v>
      </c>
      <c r="F106" s="27"/>
      <c r="G106" s="92">
        <f t="shared" si="4"/>
        <v>124</v>
      </c>
      <c r="H106" s="28">
        <f>IF('E-Gilts'!A106&lt;'Adj-Gilts'!$B$10,'E-Gilts'!I106," ")</f>
        <v>83.687619094545013</v>
      </c>
      <c r="I106" s="126">
        <f>IF('E-Gilts'!A106&lt;'Adj-Gilts'!$B$10,'E-Gilts'!A106," ")</f>
        <v>124</v>
      </c>
      <c r="J106" s="26">
        <f>IF('E-Gilts'!A106&lt;'Adj-Gilts'!$B$10,'E-Gilts'!J106," ")</f>
        <v>1047.974813521746</v>
      </c>
      <c r="K106" s="28">
        <f>IF('E-Gilts'!A106&lt;'Adj-Gilts'!$B$10,'E-Gilts'!N106," ")</f>
        <v>164.99613099307126</v>
      </c>
      <c r="L106" s="122">
        <f>IF('E-Gilts'!A106&lt;'Adj-Gilts'!$B$10,'E-Gilts'!K106," ")</f>
        <v>0.36860141252103107</v>
      </c>
      <c r="M106">
        <f>IF('E-Gilts'!A106&lt;'Adj-Gilts'!$B$10,'E-Gilts'!M106," ")</f>
        <v>2.8431112250877559</v>
      </c>
      <c r="N106" s="30">
        <f>IF('E-Gilts'!A106&lt;'Adj-Gilts'!$B$10,1/L106," ")</f>
        <v>2.7129575905869423</v>
      </c>
      <c r="O106" s="19"/>
      <c r="P106" s="31">
        <f t="shared" si="5"/>
        <v>2.3103889810177933</v>
      </c>
      <c r="Q106" s="31">
        <f t="shared" si="6"/>
        <v>6.2679873232606536</v>
      </c>
      <c r="R106" s="31">
        <f t="shared" si="7"/>
        <v>184.49961822449748</v>
      </c>
    </row>
    <row r="107" spans="1:18" x14ac:dyDescent="0.25">
      <c r="A107" s="28">
        <f>IF('E-Gilts'!A107&lt;'Adj-Gilts'!$B$10,'E-Gilts'!B107," ")</f>
        <v>77.336763052068534</v>
      </c>
      <c r="B107" s="26">
        <f>IF('E-Gilts'!A107&lt;'Adj-Gilts'!$B$10,'E-Gilts'!A107," ")</f>
        <v>125</v>
      </c>
      <c r="C107" s="26">
        <f>IF('E-Gilts'!A107&lt;'Adj-Gilts'!$B$10,'E-Gilts'!C107," ")</f>
        <v>951.20072670326294</v>
      </c>
      <c r="D107" s="28">
        <f>IF('E-Gilts'!A107&lt;'Adj-Gilts'!$B$10,'E-Gilts'!G107," ")</f>
        <v>135.1822161446344</v>
      </c>
      <c r="E107" s="27">
        <f>IF('E-Gilts'!A107&lt;'Adj-Gilts'!$B$10,'E-Gilts'!D107," ")</f>
        <v>0.41321928034953709</v>
      </c>
      <c r="F107" s="27"/>
      <c r="G107" s="92">
        <f t="shared" si="4"/>
        <v>125</v>
      </c>
      <c r="H107" s="28">
        <f>IF('E-Gilts'!A107&lt;'Adj-Gilts'!$B$10,'E-Gilts'!I107," ")</f>
        <v>84.736207944581707</v>
      </c>
      <c r="I107" s="126">
        <f>IF('E-Gilts'!A107&lt;'Adj-Gilts'!$B$10,'E-Gilts'!A107," ")</f>
        <v>125</v>
      </c>
      <c r="J107" s="26">
        <f>IF('E-Gilts'!A107&lt;'Adj-Gilts'!$B$10,'E-Gilts'!J107," ")</f>
        <v>1048.5888500366971</v>
      </c>
      <c r="K107" s="28">
        <f>IF('E-Gilts'!A107&lt;'Adj-Gilts'!$B$10,'E-Gilts'!N107," ")</f>
        <v>167.85441114345917</v>
      </c>
      <c r="L107" s="122">
        <f>IF('E-Gilts'!A107&lt;'Adj-Gilts'!$B$10,'E-Gilts'!K107," ")</f>
        <v>0.36686006789586068</v>
      </c>
      <c r="M107">
        <f>IF('E-Gilts'!A107&lt;'Adj-Gilts'!$B$10,'E-Gilts'!M107," ")</f>
        <v>2.8582801503879036</v>
      </c>
      <c r="N107" s="30">
        <f>IF('E-Gilts'!A107&lt;'Adj-Gilts'!$B$10,1/L107," ")</f>
        <v>2.7258349640928121</v>
      </c>
      <c r="O107" s="19"/>
      <c r="P107" s="31">
        <f t="shared" si="5"/>
        <v>2.3117426998092956</v>
      </c>
      <c r="Q107" s="31">
        <f t="shared" si="6"/>
        <v>6.3014290791264935</v>
      </c>
      <c r="R107" s="31">
        <f t="shared" si="7"/>
        <v>186.81136092430677</v>
      </c>
    </row>
    <row r="108" spans="1:18" x14ac:dyDescent="0.25">
      <c r="A108" s="28">
        <f>IF('E-Gilts'!A108&lt;'Adj-Gilts'!$B$10,'E-Gilts'!B108," ")</f>
        <v>78.288419265745063</v>
      </c>
      <c r="B108" s="26">
        <f>IF('E-Gilts'!A108&lt;'Adj-Gilts'!$B$10,'E-Gilts'!A108," ")</f>
        <v>126</v>
      </c>
      <c r="C108" s="26">
        <f>IF('E-Gilts'!A108&lt;'Adj-Gilts'!$B$10,'E-Gilts'!C108," ")</f>
        <v>951.65621367652875</v>
      </c>
      <c r="D108" s="28">
        <f>IF('E-Gilts'!A108&lt;'Adj-Gilts'!$B$10,'E-Gilts'!G108," ")</f>
        <v>137.49617345452322</v>
      </c>
      <c r="E108" s="27">
        <f>IF('E-Gilts'!A108&lt;'Adj-Gilts'!$B$10,'E-Gilts'!D108," ")</f>
        <v>0.41126783524033639</v>
      </c>
      <c r="F108" s="27"/>
      <c r="G108" s="92">
        <f t="shared" si="4"/>
        <v>126</v>
      </c>
      <c r="H108" s="28">
        <f>IF('E-Gilts'!A108&lt;'Adj-Gilts'!$B$10,'E-Gilts'!I108," ")</f>
        <v>85.785298916355799</v>
      </c>
      <c r="I108" s="126">
        <f>IF('E-Gilts'!A108&lt;'Adj-Gilts'!$B$10,'E-Gilts'!A108," ")</f>
        <v>126</v>
      </c>
      <c r="J108" s="26">
        <f>IF('E-Gilts'!A108&lt;'Adj-Gilts'!$B$10,'E-Gilts'!J108," ")</f>
        <v>1049.0909717740919</v>
      </c>
      <c r="K108" s="28">
        <f>IF('E-Gilts'!A108&lt;'Adj-Gilts'!$B$10,'E-Gilts'!N108," ")</f>
        <v>170.7276288842227</v>
      </c>
      <c r="L108" s="122">
        <f>IF('E-Gilts'!A108&lt;'Adj-Gilts'!$B$10,'E-Gilts'!K108," ")</f>
        <v>0.36512755608118724</v>
      </c>
      <c r="M108">
        <f>IF('E-Gilts'!A108&lt;'Adj-Gilts'!$B$10,'E-Gilts'!M108," ")</f>
        <v>2.8732177407635136</v>
      </c>
      <c r="N108" s="30">
        <f>IF('E-Gilts'!A108&lt;'Adj-Gilts'!$B$10,1/L108," ")</f>
        <v>2.7387689133428399</v>
      </c>
      <c r="O108" s="19"/>
      <c r="P108" s="31">
        <f t="shared" si="5"/>
        <v>2.3128496887504784</v>
      </c>
      <c r="Q108" s="31">
        <f t="shared" si="6"/>
        <v>6.3343608287844733</v>
      </c>
      <c r="R108" s="31">
        <f t="shared" si="7"/>
        <v>189.12421061305727</v>
      </c>
    </row>
    <row r="109" spans="1:18" x14ac:dyDescent="0.25">
      <c r="A109" s="28">
        <f>IF('E-Gilts'!A109&lt;'Adj-Gilts'!$B$10,'E-Gilts'!B109," ")</f>
        <v>79.240430870481973</v>
      </c>
      <c r="B109" s="26">
        <f>IF('E-Gilts'!A109&lt;'Adj-Gilts'!$B$10,'E-Gilts'!A109," ")</f>
        <v>127</v>
      </c>
      <c r="C109" s="26">
        <f>IF('E-Gilts'!A109&lt;'Adj-Gilts'!$B$10,'E-Gilts'!C109," ")</f>
        <v>952.01160473691004</v>
      </c>
      <c r="D109" s="28">
        <f>IF('E-Gilts'!A109&lt;'Adj-Gilts'!$B$10,'E-Gilts'!G109," ")</f>
        <v>139.8219764532513</v>
      </c>
      <c r="E109" s="27">
        <f>IF('E-Gilts'!A109&lt;'Adj-Gilts'!$B$10,'E-Gilts'!D109," ")</f>
        <v>0.40932598558757444</v>
      </c>
      <c r="F109" s="27"/>
      <c r="G109" s="92">
        <f t="shared" si="4"/>
        <v>127</v>
      </c>
      <c r="H109" s="28">
        <f>IF('E-Gilts'!A109&lt;'Adj-Gilts'!$B$10,'E-Gilts'!I109," ")</f>
        <v>86.834781665693612</v>
      </c>
      <c r="I109" s="126">
        <f>IF('E-Gilts'!A109&lt;'Adj-Gilts'!$B$10,'E-Gilts'!A109," ")</f>
        <v>127</v>
      </c>
      <c r="J109" s="26">
        <f>IF('E-Gilts'!A109&lt;'Adj-Gilts'!$B$10,'E-Gilts'!J109," ")</f>
        <v>1049.4827493378141</v>
      </c>
      <c r="K109" s="28">
        <f>IF('E-Gilts'!A109&lt;'Adj-Gilts'!$B$10,'E-Gilts'!N109," ")</f>
        <v>173.61555529881485</v>
      </c>
      <c r="L109" s="122">
        <f>IF('E-Gilts'!A109&lt;'Adj-Gilts'!$B$10,'E-Gilts'!K109," ")</f>
        <v>0.36340356320541145</v>
      </c>
      <c r="M109">
        <f>IF('E-Gilts'!A109&lt;'Adj-Gilts'!$B$10,'E-Gilts'!M109," ")</f>
        <v>2.8879264145921457</v>
      </c>
      <c r="N109" s="30">
        <f>IF('E-Gilts'!A109&lt;'Adj-Gilts'!$B$10,1/L109," ")</f>
        <v>2.751761681089397</v>
      </c>
      <c r="O109" s="19"/>
      <c r="P109" s="31">
        <f t="shared" si="5"/>
        <v>2.3137134104301933</v>
      </c>
      <c r="Q109" s="31">
        <f t="shared" si="6"/>
        <v>6.3667879038444708</v>
      </c>
      <c r="R109" s="31">
        <f t="shared" si="7"/>
        <v>191.43792402348745</v>
      </c>
    </row>
    <row r="110" spans="1:18" x14ac:dyDescent="0.25">
      <c r="A110" s="28">
        <f>IF('E-Gilts'!A110&lt;'Adj-Gilts'!$B$10,'E-Gilts'!B110," ")</f>
        <v>80.192699202336783</v>
      </c>
      <c r="B110" s="26">
        <f>IF('E-Gilts'!A110&lt;'Adj-Gilts'!$B$10,'E-Gilts'!A110," ")</f>
        <v>128</v>
      </c>
      <c r="C110" s="26">
        <f>IF('E-Gilts'!A110&lt;'Adj-Gilts'!$B$10,'E-Gilts'!C110," ")</f>
        <v>952.26833185481041</v>
      </c>
      <c r="D110" s="28">
        <f>IF('E-Gilts'!A110&lt;'Adj-Gilts'!$B$10,'E-Gilts'!G110," ")</f>
        <v>142.15944275826905</v>
      </c>
      <c r="E110" s="27">
        <f>IF('E-Gilts'!A110&lt;'Adj-Gilts'!$B$10,'E-Gilts'!D110," ")</f>
        <v>0.40739339421090814</v>
      </c>
      <c r="F110" s="27"/>
      <c r="G110" s="92">
        <f t="shared" si="4"/>
        <v>128</v>
      </c>
      <c r="H110" s="28">
        <f>IF('E-Gilts'!A110&lt;'Adj-Gilts'!$B$10,'E-Gilts'!I110," ")</f>
        <v>87.884547427003326</v>
      </c>
      <c r="I110" s="126">
        <f>IF('E-Gilts'!A110&lt;'Adj-Gilts'!$B$10,'E-Gilts'!A110," ")</f>
        <v>128</v>
      </c>
      <c r="J110" s="26">
        <f>IF('E-Gilts'!A110&lt;'Adj-Gilts'!$B$10,'E-Gilts'!J110," ")</f>
        <v>1049.7657613097092</v>
      </c>
      <c r="K110" s="28">
        <f>IF('E-Gilts'!A110&lt;'Adj-Gilts'!$B$10,'E-Gilts'!N110," ")</f>
        <v>176.51796392464064</v>
      </c>
      <c r="L110" s="122">
        <f>IF('E-Gilts'!A110&lt;'Adj-Gilts'!$B$10,'E-Gilts'!K110," ")</f>
        <v>0.36168778991656825</v>
      </c>
      <c r="M110">
        <f>IF('E-Gilts'!A110&lt;'Adj-Gilts'!$B$10,'E-Gilts'!M110," ")</f>
        <v>2.9024086258257769</v>
      </c>
      <c r="N110" s="30">
        <f>IF('E-Gilts'!A110&lt;'Adj-Gilts'!$B$10,1/L110," ")</f>
        <v>2.7648154786498971</v>
      </c>
      <c r="O110" s="19"/>
      <c r="P110" s="31">
        <f t="shared" si="5"/>
        <v>2.3143373450256872</v>
      </c>
      <c r="Q110" s="31">
        <f t="shared" si="6"/>
        <v>6.3987157143445268</v>
      </c>
      <c r="R110" s="31">
        <f t="shared" si="7"/>
        <v>193.75226136851313</v>
      </c>
    </row>
    <row r="111" spans="1:18" x14ac:dyDescent="0.25">
      <c r="A111" s="28">
        <f>IF('E-Gilts'!A111&lt;'Adj-Gilts'!$B$10,'E-Gilts'!B111," ")</f>
        <v>81.145127035671905</v>
      </c>
      <c r="B111" s="26">
        <f>IF('E-Gilts'!A111&lt;'Adj-Gilts'!$B$10,'E-Gilts'!A111," ")</f>
        <v>129</v>
      </c>
      <c r="C111" s="26">
        <f>IF('E-Gilts'!A111&lt;'Adj-Gilts'!$B$10,'E-Gilts'!C111," ")</f>
        <v>952.42783333512193</v>
      </c>
      <c r="D111" s="28">
        <f>IF('E-Gilts'!A111&lt;'Adj-Gilts'!$B$10,'E-Gilts'!G111," ")</f>
        <v>144.50839198912422</v>
      </c>
      <c r="E111" s="27">
        <f>IF('E-Gilts'!A111&lt;'Adj-Gilts'!$B$10,'E-Gilts'!D111," ")</f>
        <v>0.40546973975609135</v>
      </c>
      <c r="F111" s="27"/>
      <c r="G111" s="92">
        <f t="shared" si="4"/>
        <v>129</v>
      </c>
      <c r="H111" s="28">
        <f>IF('E-Gilts'!A111&lt;'Adj-Gilts'!$B$10,'E-Gilts'!I111," ")</f>
        <v>88.934489020257985</v>
      </c>
      <c r="I111" s="126">
        <f>IF('E-Gilts'!A111&lt;'Adj-Gilts'!$B$10,'E-Gilts'!A111," ")</f>
        <v>129</v>
      </c>
      <c r="J111" s="26">
        <f>IF('E-Gilts'!A111&lt;'Adj-Gilts'!$B$10,'E-Gilts'!J111," ")</f>
        <v>1049.9415932546642</v>
      </c>
      <c r="K111" s="28">
        <f>IF('E-Gilts'!A111&lt;'Adj-Gilts'!$B$10,'E-Gilts'!N111," ")</f>
        <v>179.43463078508941</v>
      </c>
      <c r="L111" s="122">
        <f>IF('E-Gilts'!A111&lt;'Adj-Gilts'!$B$10,'E-Gilts'!K111," ")</f>
        <v>0.3599799509132543</v>
      </c>
      <c r="M111">
        <f>IF('E-Gilts'!A111&lt;'Adj-Gilts'!$B$10,'E-Gilts'!M111," ")</f>
        <v>2.9166668604487715</v>
      </c>
      <c r="N111" s="30">
        <f>IF('E-Gilts'!A111&lt;'Adj-Gilts'!$B$10,1/L111," ")</f>
        <v>2.7779324861371895</v>
      </c>
      <c r="O111" s="19"/>
      <c r="P111" s="31">
        <f t="shared" si="5"/>
        <v>2.3147249881091785</v>
      </c>
      <c r="Q111" s="31">
        <f t="shared" si="6"/>
        <v>6.4301497409420074</v>
      </c>
      <c r="R111" s="31">
        <f t="shared" si="7"/>
        <v>196.06698635662232</v>
      </c>
    </row>
    <row r="112" spans="1:18" x14ac:dyDescent="0.25">
      <c r="A112" s="28">
        <f>IF('E-Gilts'!A112&lt;'Adj-Gilts'!$B$10,'E-Gilts'!B112," ")</f>
        <v>82.09761858860692</v>
      </c>
      <c r="B112" s="26">
        <f>IF('E-Gilts'!A112&lt;'Adj-Gilts'!$B$10,'E-Gilts'!A112," ")</f>
        <v>130</v>
      </c>
      <c r="C112" s="26">
        <f>IF('E-Gilts'!A112&lt;'Adj-Gilts'!$B$10,'E-Gilts'!C112," ")</f>
        <v>952.49155293501531</v>
      </c>
      <c r="D112" s="28">
        <f>IF('E-Gilts'!A112&lt;'Adj-Gilts'!$B$10,'E-Gilts'!G112," ")</f>
        <v>146.86864579051593</v>
      </c>
      <c r="E112" s="27">
        <f>IF('E-Gilts'!A112&lt;'Adj-Gilts'!$B$10,'E-Gilts'!D112," ")</f>
        <v>0.40355471618068695</v>
      </c>
      <c r="F112" s="27"/>
      <c r="G112" s="92">
        <f t="shared" si="4"/>
        <v>130</v>
      </c>
      <c r="H112" s="28">
        <f>IF('E-Gilts'!A112&lt;'Adj-Gilts'!$B$10,'E-Gilts'!I112," ")</f>
        <v>89.984500857006054</v>
      </c>
      <c r="I112" s="126">
        <f>IF('E-Gilts'!A112&lt;'Adj-Gilts'!$B$10,'E-Gilts'!A112," ")</f>
        <v>130</v>
      </c>
      <c r="J112" s="26">
        <f>IF('E-Gilts'!A112&lt;'Adj-Gilts'!$B$10,'E-Gilts'!J112," ")</f>
        <v>1050.0118367480736</v>
      </c>
      <c r="K112" s="28">
        <f>IF('E-Gilts'!A112&lt;'Adj-Gilts'!$B$10,'E-Gilts'!N112," ")</f>
        <v>182.36533441816076</v>
      </c>
      <c r="L112" s="122">
        <f>IF('E-Gilts'!A112&lt;'Adj-Gilts'!$B$10,'E-Gilts'!K112," ")</f>
        <v>0.35827977448803822</v>
      </c>
      <c r="M112">
        <f>IF('E-Gilts'!A112&lt;'Adj-Gilts'!$B$10,'E-Gilts'!M112," ")</f>
        <v>2.9307036330713387</v>
      </c>
      <c r="N112" s="30">
        <f>IF('E-Gilts'!A112&lt;'Adj-Gilts'!$B$10,1/L112," ")</f>
        <v>2.7911148527123646</v>
      </c>
      <c r="O112" s="19"/>
      <c r="P112" s="31">
        <f t="shared" si="5"/>
        <v>2.3148798485037867</v>
      </c>
      <c r="Q112" s="31">
        <f t="shared" si="6"/>
        <v>6.4610955274034669</v>
      </c>
      <c r="R112" s="31">
        <f t="shared" si="7"/>
        <v>198.3818662051261</v>
      </c>
    </row>
    <row r="113" spans="1:18" x14ac:dyDescent="0.25">
      <c r="A113" s="28">
        <f>IF('E-Gilts'!A113&lt;'Adj-Gilts'!$B$10,'E-Gilts'!B113," ")</f>
        <v>83.0500795276091</v>
      </c>
      <c r="B113" s="26">
        <f>IF('E-Gilts'!A113&lt;'Adj-Gilts'!$B$10,'E-Gilts'!A113," ")</f>
        <v>131</v>
      </c>
      <c r="C113" s="26">
        <f>IF('E-Gilts'!A113&lt;'Adj-Gilts'!$B$10,'E-Gilts'!C113," ")</f>
        <v>952.46093900217943</v>
      </c>
      <c r="D113" s="28">
        <f>IF('E-Gilts'!A113&lt;'Adj-Gilts'!$B$10,'E-Gilts'!G113," ")</f>
        <v>149.24002785271233</v>
      </c>
      <c r="E113" s="27">
        <f>IF('E-Gilts'!A113&lt;'Adj-Gilts'!$B$10,'E-Gilts'!D113," ")</f>
        <v>0.40164803225339563</v>
      </c>
      <c r="F113" s="27"/>
      <c r="G113" s="92">
        <f t="shared" si="4"/>
        <v>131</v>
      </c>
      <c r="H113" s="28">
        <f>IF('E-Gilts'!A113&lt;'Adj-Gilts'!$B$10,'E-Gilts'!I113," ")</f>
        <v>91.0344789454319</v>
      </c>
      <c r="I113" s="126">
        <f>IF('E-Gilts'!A113&lt;'Adj-Gilts'!$B$10,'E-Gilts'!A113," ")</f>
        <v>131</v>
      </c>
      <c r="J113" s="26">
        <f>IF('E-Gilts'!A113&lt;'Adj-Gilts'!$B$10,'E-Gilts'!J113," ")</f>
        <v>1049.9780884258464</v>
      </c>
      <c r="K113" s="28">
        <f>IF('E-Gilts'!A113&lt;'Adj-Gilts'!$B$10,'E-Gilts'!N113," ")</f>
        <v>185.309855901817</v>
      </c>
      <c r="L113" s="122">
        <f>IF('E-Gilts'!A113&lt;'Adj-Gilts'!$B$10,'E-Gilts'!K113," ")</f>
        <v>0.35658700208295985</v>
      </c>
      <c r="M113">
        <f>IF('E-Gilts'!A113&lt;'Adj-Gilts'!$B$10,'E-Gilts'!M113," ")</f>
        <v>2.9445214836562368</v>
      </c>
      <c r="N113" s="30">
        <f>IF('E-Gilts'!A113&lt;'Adj-Gilts'!$B$10,1/L113," ")</f>
        <v>2.8043646968583289</v>
      </c>
      <c r="O113" s="19"/>
      <c r="P113" s="31">
        <f t="shared" si="5"/>
        <v>2.3148054461891552</v>
      </c>
      <c r="Q113" s="31">
        <f t="shared" si="6"/>
        <v>6.4915586733882602</v>
      </c>
      <c r="R113" s="31">
        <f t="shared" si="7"/>
        <v>200.69667165131526</v>
      </c>
    </row>
    <row r="114" spans="1:18" x14ac:dyDescent="0.25">
      <c r="A114" s="28">
        <f>IF('E-Gilts'!A114&lt;'Adj-Gilts'!$B$10,'E-Gilts'!B114," ")</f>
        <v>84.002416971241885</v>
      </c>
      <c r="B114" s="26">
        <f>IF('E-Gilts'!A114&lt;'Adj-Gilts'!$B$10,'E-Gilts'!A114," ")</f>
        <v>132</v>
      </c>
      <c r="C114" s="26">
        <f>IF('E-Gilts'!A114&lt;'Adj-Gilts'!$B$10,'E-Gilts'!C114," ")</f>
        <v>952.33744363278561</v>
      </c>
      <c r="D114" s="28">
        <f>IF('E-Gilts'!A114&lt;'Adj-Gilts'!$B$10,'E-Gilts'!G114," ")</f>
        <v>151.62236392943768</v>
      </c>
      <c r="E114" s="27">
        <f>IF('E-Gilts'!A114&lt;'Adj-Gilts'!$B$10,'E-Gilts'!D114," ")</f>
        <v>0.39974941106622647</v>
      </c>
      <c r="F114" s="27"/>
      <c r="G114" s="92">
        <f t="shared" si="4"/>
        <v>132</v>
      </c>
      <c r="H114" s="28">
        <f>IF('E-Gilts'!A114&lt;'Adj-Gilts'!$B$10,'E-Gilts'!I114," ")</f>
        <v>92.084320894488059</v>
      </c>
      <c r="I114" s="126">
        <f>IF('E-Gilts'!A114&lt;'Adj-Gilts'!$B$10,'E-Gilts'!A114," ")</f>
        <v>132</v>
      </c>
      <c r="J114" s="26">
        <f>IF('E-Gilts'!A114&lt;'Adj-Gilts'!$B$10,'E-Gilts'!J114," ")</f>
        <v>1049.8419490561612</v>
      </c>
      <c r="K114" s="28">
        <f>IF('E-Gilts'!A114&lt;'Adj-Gilts'!$B$10,'E-Gilts'!N114," ")</f>
        <v>188.26797887619335</v>
      </c>
      <c r="L114" s="122">
        <f>IF('E-Gilts'!A114&lt;'Adj-Gilts'!$B$10,'E-Gilts'!K114," ")</f>
        <v>0.35490138785643049</v>
      </c>
      <c r="M114">
        <f>IF('E-Gilts'!A114&lt;'Adj-Gilts'!$B$10,'E-Gilts'!M114," ")</f>
        <v>2.9581229743763569</v>
      </c>
      <c r="N114" s="30">
        <f>IF('E-Gilts'!A114&lt;'Adj-Gilts'!$B$10,1/L114," ")</f>
        <v>2.8176841066751015</v>
      </c>
      <c r="O114" s="19"/>
      <c r="P114" s="31">
        <f t="shared" si="5"/>
        <v>2.314505310255023</v>
      </c>
      <c r="Q114" s="31">
        <f t="shared" si="6"/>
        <v>6.5215448275207031</v>
      </c>
      <c r="R114" s="31">
        <f t="shared" si="7"/>
        <v>203.01117696157024</v>
      </c>
    </row>
    <row r="115" spans="1:18" x14ac:dyDescent="0.25">
      <c r="A115" s="28">
        <f>IF('E-Gilts'!A115&lt;'Adj-Gilts'!$B$10,'E-Gilts'!B115," ")</f>
        <v>84.954539493092923</v>
      </c>
      <c r="B115" s="26">
        <f>IF('E-Gilts'!A115&lt;'Adj-Gilts'!$B$10,'E-Gilts'!A115," ")</f>
        <v>133</v>
      </c>
      <c r="C115" s="26">
        <f>IF('E-Gilts'!A115&lt;'Adj-Gilts'!$B$10,'E-Gilts'!C115," ")</f>
        <v>952.12252185103807</v>
      </c>
      <c r="D115" s="28">
        <f>IF('E-Gilts'!A115&lt;'Adj-Gilts'!$B$10,'E-Gilts'!G115," ")</f>
        <v>154.01548185333206</v>
      </c>
      <c r="E115" s="27">
        <f>IF('E-Gilts'!A115&lt;'Adj-Gilts'!$B$10,'E-Gilts'!D115," ")</f>
        <v>0.39785858955986148</v>
      </c>
      <c r="F115" s="27"/>
      <c r="G115" s="92">
        <f t="shared" si="4"/>
        <v>133</v>
      </c>
      <c r="H115" s="28">
        <f>IF('E-Gilts'!A115&lt;'Adj-Gilts'!$B$10,'E-Gilts'!I115," ")</f>
        <v>93.133925917123079</v>
      </c>
      <c r="I115" s="126">
        <f>IF('E-Gilts'!A115&lt;'Adj-Gilts'!$B$10,'E-Gilts'!A115," ")</f>
        <v>133</v>
      </c>
      <c r="J115" s="26">
        <f>IF('E-Gilts'!A115&lt;'Adj-Gilts'!$B$10,'E-Gilts'!J115," ")</f>
        <v>1049.6050226350139</v>
      </c>
      <c r="K115" s="28">
        <f>IF('E-Gilts'!A115&lt;'Adj-Gilts'!$B$10,'E-Gilts'!N115," ")</f>
        <v>191.23948956279406</v>
      </c>
      <c r="L115" s="122">
        <f>IF('E-Gilts'!A115&lt;'Adj-Gilts'!$B$10,'E-Gilts'!K115," ")</f>
        <v>0.3532226982618471</v>
      </c>
      <c r="M115">
        <f>IF('E-Gilts'!A115&lt;'Adj-Gilts'!$B$10,'E-Gilts'!M115," ")</f>
        <v>2.9715106866007024</v>
      </c>
      <c r="N115" s="30">
        <f>IF('E-Gilts'!A115&lt;'Adj-Gilts'!$B$10,1/L115," ")</f>
        <v>2.8310751401901446</v>
      </c>
      <c r="O115" s="19"/>
      <c r="P115" s="31">
        <f t="shared" si="5"/>
        <v>2.3139829769072482</v>
      </c>
      <c r="Q115" s="31">
        <f t="shared" si="6"/>
        <v>6.551059680745297</v>
      </c>
      <c r="R115" s="31">
        <f t="shared" si="7"/>
        <v>205.32515993847753</v>
      </c>
    </row>
    <row r="116" spans="1:18" x14ac:dyDescent="0.25">
      <c r="A116" s="28">
        <f>IF('E-Gilts'!A116&lt;'Adj-Gilts'!$B$10,'E-Gilts'!B116," ")</f>
        <v>85.906357123901316</v>
      </c>
      <c r="B116" s="26">
        <f>IF('E-Gilts'!A116&lt;'Adj-Gilts'!$B$10,'E-Gilts'!A116," ")</f>
        <v>134</v>
      </c>
      <c r="C116" s="26">
        <f>IF('E-Gilts'!A116&lt;'Adj-Gilts'!$B$10,'E-Gilts'!C116," ")</f>
        <v>951.81763080839232</v>
      </c>
      <c r="D116" s="28">
        <f>IF('E-Gilts'!A116&lt;'Adj-Gilts'!$B$10,'E-Gilts'!G116," ")</f>
        <v>156.41921154908493</v>
      </c>
      <c r="E116" s="27">
        <f>IF('E-Gilts'!A116&lt;'Adj-Gilts'!$B$10,'E-Gilts'!D116," ")</f>
        <v>0.39597531806099251</v>
      </c>
      <c r="F116" s="27"/>
      <c r="G116" s="92">
        <f t="shared" si="4"/>
        <v>134</v>
      </c>
      <c r="H116" s="28">
        <f>IF('E-Gilts'!A116&lt;'Adj-Gilts'!$B$10,'E-Gilts'!I116," ")</f>
        <v>94.183194832626526</v>
      </c>
      <c r="I116" s="126">
        <f>IF('E-Gilts'!A116&lt;'Adj-Gilts'!$B$10,'E-Gilts'!A116," ")</f>
        <v>134</v>
      </c>
      <c r="J116" s="26">
        <f>IF('E-Gilts'!A116&lt;'Adj-Gilts'!$B$10,'E-Gilts'!J116," ")</f>
        <v>1049.2689155034493</v>
      </c>
      <c r="K116" s="28">
        <f>IF('E-Gilts'!A116&lt;'Adj-Gilts'!$B$10,'E-Gilts'!N116," ")</f>
        <v>194.22417678080026</v>
      </c>
      <c r="L116" s="122">
        <f>IF('E-Gilts'!A116&lt;'Adj-Gilts'!$B$10,'E-Gilts'!K116," ")</f>
        <v>0.35155071163683532</v>
      </c>
      <c r="M116">
        <f>IF('E-Gilts'!A116&lt;'Adj-Gilts'!$B$10,'E-Gilts'!M116," ")</f>
        <v>2.9846872180062101</v>
      </c>
      <c r="N116" s="30">
        <f>IF('E-Gilts'!A116&lt;'Adj-Gilts'!$B$10,1/L116," ")</f>
        <v>2.8445398256881824</v>
      </c>
      <c r="O116" s="19"/>
      <c r="P116" s="31">
        <f t="shared" si="5"/>
        <v>2.3132419875216361</v>
      </c>
      <c r="Q116" s="31">
        <f t="shared" si="6"/>
        <v>6.5801089599593796</v>
      </c>
      <c r="R116" s="31">
        <f t="shared" si="7"/>
        <v>207.63840192599918</v>
      </c>
    </row>
    <row r="117" spans="1:18" x14ac:dyDescent="0.25">
      <c r="A117" s="28">
        <f>IF('E-Gilts'!A117&lt;'Adj-Gilts'!$B$10,'E-Gilts'!B117," ")</f>
        <v>86.857781352905803</v>
      </c>
      <c r="B117" s="26">
        <f>IF('E-Gilts'!A117&lt;'Adj-Gilts'!$B$10,'E-Gilts'!A117," ")</f>
        <v>135</v>
      </c>
      <c r="C117" s="26">
        <f>IF('E-Gilts'!A117&lt;'Adj-Gilts'!$B$10,'E-Gilts'!C117," ")</f>
        <v>951.42422900448764</v>
      </c>
      <c r="D117" s="28">
        <f>IF('E-Gilts'!A117&lt;'Adj-Gilts'!$B$10,'E-Gilts'!G117," ")</f>
        <v>158.83338504434207</v>
      </c>
      <c r="E117" s="27">
        <f>IF('E-Gilts'!A117&lt;'Adj-Gilts'!$B$10,'E-Gilts'!D117," ")</f>
        <v>0.39409935983211081</v>
      </c>
      <c r="F117" s="27"/>
      <c r="G117" s="92">
        <f t="shared" si="4"/>
        <v>135</v>
      </c>
      <c r="H117" s="28">
        <f>IF('E-Gilts'!A117&lt;'Adj-Gilts'!$B$10,'E-Gilts'!I117," ")</f>
        <v>95.23203006811525</v>
      </c>
      <c r="I117" s="126">
        <f>IF('E-Gilts'!A117&lt;'Adj-Gilts'!$B$10,'E-Gilts'!A117," ")</f>
        <v>135</v>
      </c>
      <c r="J117" s="26">
        <f>IF('E-Gilts'!A117&lt;'Adj-Gilts'!$B$10,'E-Gilts'!J117," ")</f>
        <v>1048.8352354887288</v>
      </c>
      <c r="K117" s="28">
        <f>IF('E-Gilts'!A117&lt;'Adj-Gilts'!$B$10,'E-Gilts'!N117," ")</f>
        <v>197.22183196061303</v>
      </c>
      <c r="L117" s="122">
        <f>IF('E-Gilts'!A117&lt;'Adj-Gilts'!$B$10,'E-Gilts'!K117," ")</f>
        <v>0.34988521780354859</v>
      </c>
      <c r="M117">
        <f>IF('E-Gilts'!A117&lt;'Adj-Gilts'!$B$10,'E-Gilts'!M117," ")</f>
        <v>2.9976551798127766</v>
      </c>
      <c r="N117" s="30">
        <f>IF('E-Gilts'!A117&lt;'Adj-Gilts'!$B$10,1/L117," ")</f>
        <v>2.8580801620532421</v>
      </c>
      <c r="O117" s="19"/>
      <c r="P117" s="31">
        <f t="shared" si="5"/>
        <v>2.3122858867505394</v>
      </c>
      <c r="Q117" s="31">
        <f t="shared" si="6"/>
        <v>6.6086984219174072</v>
      </c>
      <c r="R117" s="31">
        <f t="shared" si="7"/>
        <v>209.95068781274969</v>
      </c>
    </row>
    <row r="118" spans="1:18" x14ac:dyDescent="0.25">
      <c r="A118" s="28">
        <f>IF('E-Gilts'!A118&lt;'Adj-Gilts'!$B$10,'E-Gilts'!B118," ")</f>
        <v>87.808725128433778</v>
      </c>
      <c r="B118" s="26">
        <f>IF('E-Gilts'!A118&lt;'Adj-Gilts'!$B$10,'E-Gilts'!A118," ")</f>
        <v>136</v>
      </c>
      <c r="C118" s="26">
        <f>IF('E-Gilts'!A118&lt;'Adj-Gilts'!$B$10,'E-Gilts'!C118," ")</f>
        <v>950.94377552797482</v>
      </c>
      <c r="D118" s="28">
        <f>IF('E-Gilts'!A118&lt;'Adj-Gilts'!$B$10,'E-Gilts'!G118," ")</f>
        <v>161.25783647848269</v>
      </c>
      <c r="E118" s="27">
        <f>IF('E-Gilts'!A118&lt;'Adj-Gilts'!$B$10,'E-Gilts'!D118," ")</f>
        <v>0.39223049063263549</v>
      </c>
      <c r="F118" s="27"/>
      <c r="G118" s="92">
        <f t="shared" si="4"/>
        <v>136</v>
      </c>
      <c r="H118" s="28">
        <f>IF('E-Gilts'!A118&lt;'Adj-Gilts'!$B$10,'E-Gilts'!I118," ")</f>
        <v>96.280335659182683</v>
      </c>
      <c r="I118" s="126">
        <f>IF('E-Gilts'!A118&lt;'Adj-Gilts'!$B$10,'E-Gilts'!A118," ")</f>
        <v>136</v>
      </c>
      <c r="J118" s="26">
        <f>IF('E-Gilts'!A118&lt;'Adj-Gilts'!$B$10,'E-Gilts'!J118," ")</f>
        <v>1048.3055910674311</v>
      </c>
      <c r="K118" s="28">
        <f>IF('E-Gilts'!A118&lt;'Adj-Gilts'!$B$10,'E-Gilts'!N118," ")</f>
        <v>200.2322491547518</v>
      </c>
      <c r="L118" s="122">
        <f>IF('E-Gilts'!A118&lt;'Adj-Gilts'!$B$10,'E-Gilts'!K118," ")</f>
        <v>0.34822601767903349</v>
      </c>
      <c r="M118">
        <f>IF('E-Gilts'!A118&lt;'Adj-Gilts'!$B$10,'E-Gilts'!M118," ")</f>
        <v>3.0104171941387623</v>
      </c>
      <c r="N118" s="30">
        <f>IF('E-Gilts'!A118&lt;'Adj-Gilts'!$B$10,1/L118," ")</f>
        <v>2.8716981191270978</v>
      </c>
      <c r="O118" s="19"/>
      <c r="P118" s="31">
        <f t="shared" si="5"/>
        <v>2.3111182206778107</v>
      </c>
      <c r="Q118" s="31">
        <f t="shared" si="6"/>
        <v>6.6368338474008324</v>
      </c>
      <c r="R118" s="31">
        <f t="shared" si="7"/>
        <v>212.26180603342752</v>
      </c>
    </row>
    <row r="119" spans="1:18" x14ac:dyDescent="0.25">
      <c r="A119" s="28">
        <f>IF('E-Gilts'!A119&lt;'Adj-Gilts'!$B$10,'E-Gilts'!B119," ")</f>
        <v>88.759102857752652</v>
      </c>
      <c r="B119" s="26">
        <f>IF('E-Gilts'!A119&lt;'Adj-Gilts'!$B$10,'E-Gilts'!A119," ")</f>
        <v>137</v>
      </c>
      <c r="C119" s="26">
        <f>IF('E-Gilts'!A119&lt;'Adj-Gilts'!$B$10,'E-Gilts'!C119," ")</f>
        <v>950.37772931887332</v>
      </c>
      <c r="D119" s="28">
        <f>IF('E-Gilts'!A119&lt;'Adj-Gilts'!$B$10,'E-Gilts'!G119," ")</f>
        <v>163.69240210936164</v>
      </c>
      <c r="E119" s="27">
        <f>IF('E-Gilts'!A119&lt;'Adj-Gilts'!$B$10,'E-Gilts'!D119," ")</f>
        <v>0.39036849829172809</v>
      </c>
      <c r="F119" s="27"/>
      <c r="G119" s="92">
        <f t="shared" si="4"/>
        <v>137</v>
      </c>
      <c r="H119" s="28">
        <f>IF('E-Gilts'!A119&lt;'Adj-Gilts'!$B$10,'E-Gilts'!I119," ")</f>
        <v>97.32801724973497</v>
      </c>
      <c r="I119" s="126">
        <f>IF('E-Gilts'!A119&lt;'Adj-Gilts'!$B$10,'E-Gilts'!A119," ")</f>
        <v>137</v>
      </c>
      <c r="J119" s="26">
        <f>IF('E-Gilts'!A119&lt;'Adj-Gilts'!$B$10,'E-Gilts'!J119," ")</f>
        <v>1047.6815905522858</v>
      </c>
      <c r="K119" s="28">
        <f>IF('E-Gilts'!A119&lt;'Adj-Gilts'!$B$10,'E-Gilts'!N119," ")</f>
        <v>203.25522504622606</v>
      </c>
      <c r="L119" s="122">
        <f>IF('E-Gilts'!A119&lt;'Adj-Gilts'!$B$10,'E-Gilts'!K119," ")</f>
        <v>0.34657292289597053</v>
      </c>
      <c r="M119">
        <f>IF('E-Gilts'!A119&lt;'Adj-Gilts'!$B$10,'E-Gilts'!M119," ")</f>
        <v>3.0229758914742582</v>
      </c>
      <c r="N119" s="30">
        <f>IF('E-Gilts'!A119&lt;'Adj-Gilts'!$B$10,1/L119," ")</f>
        <v>2.8853956380780681</v>
      </c>
      <c r="O119" s="19"/>
      <c r="P119" s="31">
        <f t="shared" si="5"/>
        <v>2.3097425350260758</v>
      </c>
      <c r="Q119" s="31">
        <f t="shared" si="6"/>
        <v>6.6645210356476188</v>
      </c>
      <c r="R119" s="31">
        <f t="shared" si="7"/>
        <v>214.57154856845358</v>
      </c>
    </row>
    <row r="120" spans="1:18" x14ac:dyDescent="0.25">
      <c r="A120" s="28">
        <f>IF('E-Gilts'!A120&lt;'Adj-Gilts'!$B$10,'E-Gilts'!B120," ")</f>
        <v>89.708830406204243</v>
      </c>
      <c r="B120" s="26">
        <f>IF('E-Gilts'!A120&lt;'Adj-Gilts'!$B$10,'E-Gilts'!A120," ")</f>
        <v>138</v>
      </c>
      <c r="C120" s="26">
        <f>IF('E-Gilts'!A120&lt;'Adj-Gilts'!$B$10,'E-Gilts'!C120," ")</f>
        <v>949.72754845159102</v>
      </c>
      <c r="D120" s="28">
        <f>IF('E-Gilts'!A120&lt;'Adj-Gilts'!$B$10,'E-Gilts'!G120," ")</f>
        <v>166.13692031810922</v>
      </c>
      <c r="E120" s="27">
        <f>IF('E-Gilts'!A120&lt;'Adj-Gilts'!$B$10,'E-Gilts'!D120," ")</f>
        <v>0.38851318229213272</v>
      </c>
      <c r="F120" s="27"/>
      <c r="G120" s="92">
        <f t="shared" si="4"/>
        <v>138</v>
      </c>
      <c r="H120" s="28">
        <f>IF('E-Gilts'!A120&lt;'Adj-Gilts'!$B$10,'E-Gilts'!I120," ")</f>
        <v>98.374982091036756</v>
      </c>
      <c r="I120" s="126">
        <f>IF('E-Gilts'!A120&lt;'Adj-Gilts'!$B$10,'E-Gilts'!A120," ")</f>
        <v>138</v>
      </c>
      <c r="J120" s="26">
        <f>IF('E-Gilts'!A120&lt;'Adj-Gilts'!$B$10,'E-Gilts'!J120," ")</f>
        <v>1046.964841301786</v>
      </c>
      <c r="K120" s="28">
        <f>IF('E-Gilts'!A120&lt;'Adj-Gilts'!$B$10,'E-Gilts'!N120," ")</f>
        <v>206.29055895449531</v>
      </c>
      <c r="L120" s="122">
        <f>IF('E-Gilts'!A120&lt;'Adj-Gilts'!$B$10,'E-Gilts'!K120," ")</f>
        <v>0.34492575543320331</v>
      </c>
      <c r="M120">
        <f>IF('E-Gilts'!A120&lt;'Adj-Gilts'!$B$10,'E-Gilts'!M120," ")</f>
        <v>3.035333908269243</v>
      </c>
      <c r="N120" s="30">
        <f>IF('E-Gilts'!A120&lt;'Adj-Gilts'!$B$10,1/L120," ")</f>
        <v>2.8991746317814626</v>
      </c>
      <c r="P120" s="31">
        <f t="shared" si="5"/>
        <v>2.3081623734142309</v>
      </c>
      <c r="Q120" s="31">
        <f t="shared" si="6"/>
        <v>6.6917657990350294</v>
      </c>
      <c r="R120" s="31">
        <f t="shared" si="7"/>
        <v>216.87971094186781</v>
      </c>
    </row>
    <row r="121" spans="1:18" x14ac:dyDescent="0.25">
      <c r="A121" s="28">
        <f>IF('E-Gilts'!A121&lt;'Adj-Gilts'!$B$10,'E-Gilts'!B121," ")</f>
        <v>90.657825095642664</v>
      </c>
      <c r="B121" s="26">
        <f>IF('E-Gilts'!A121&lt;'Adj-Gilts'!$B$10,'E-Gilts'!A121," ")</f>
        <v>139</v>
      </c>
      <c r="C121" s="26">
        <f>IF('E-Gilts'!A121&lt;'Adj-Gilts'!$B$10,'E-Gilts'!C121," ")</f>
        <v>948.9946894384218</v>
      </c>
      <c r="D121" s="28">
        <f>IF('E-Gilts'!A121&lt;'Adj-Gilts'!$B$10,'E-Gilts'!G121," ")</f>
        <v>168.5912316120789</v>
      </c>
      <c r="E121" s="27">
        <f>IF('E-Gilts'!A121&lt;'Adj-Gilts'!$B$10,'E-Gilts'!D121," ")</f>
        <v>0.38666435336468036</v>
      </c>
      <c r="F121" s="27"/>
      <c r="G121" s="92">
        <f t="shared" si="4"/>
        <v>139</v>
      </c>
      <c r="H121" s="28">
        <f>IF('E-Gilts'!A121&lt;'Adj-Gilts'!$B$10,'E-Gilts'!I121," ")</f>
        <v>99.421139039989129</v>
      </c>
      <c r="I121" s="126">
        <f>IF('E-Gilts'!A121&lt;'Adj-Gilts'!$B$10,'E-Gilts'!A121," ")</f>
        <v>139</v>
      </c>
      <c r="J121" s="26">
        <f>IF('E-Gilts'!A121&lt;'Adj-Gilts'!$B$10,'E-Gilts'!J121," ")</f>
        <v>1046.1569489523747</v>
      </c>
      <c r="K121" s="28">
        <f>IF('E-Gilts'!A121&lt;'Adj-Gilts'!$B$10,'E-Gilts'!N121," ")</f>
        <v>209.33805283912915</v>
      </c>
      <c r="L121" s="122">
        <f>IF('E-Gilts'!A121&lt;'Adj-Gilts'!$B$10,'E-Gilts'!K121," ")</f>
        <v>0.3432843472557357</v>
      </c>
      <c r="M121">
        <f>IF('E-Gilts'!A121&lt;'Adj-Gilts'!$B$10,'E-Gilts'!M121," ")</f>
        <v>3.047493884633842</v>
      </c>
      <c r="N121" s="30">
        <f>IF('E-Gilts'!A121&lt;'Adj-Gilts'!$B$10,1/L121," ")</f>
        <v>2.9130369852110749</v>
      </c>
      <c r="P121" s="31">
        <f t="shared" si="5"/>
        <v>2.3063812756647</v>
      </c>
      <c r="Q121" s="31">
        <f t="shared" si="6"/>
        <v>6.7185739580095714</v>
      </c>
      <c r="R121" s="31">
        <f t="shared" si="7"/>
        <v>219.18609221753252</v>
      </c>
    </row>
    <row r="122" spans="1:18" x14ac:dyDescent="0.25">
      <c r="A122" s="28">
        <f>IF('E-Gilts'!A122&lt;'Adj-Gilts'!$B$10,'E-Gilts'!B122," ")</f>
        <v>91.606005702196953</v>
      </c>
      <c r="B122" s="26">
        <f>IF('E-Gilts'!A122&lt;'Adj-Gilts'!$B$10,'E-Gilts'!A122," ")</f>
        <v>140</v>
      </c>
      <c r="C122" s="26">
        <f>IF('E-Gilts'!A122&lt;'Adj-Gilts'!$B$10,'E-Gilts'!C122," ")</f>
        <v>948.18060655428837</v>
      </c>
      <c r="D122" s="28">
        <f>IF('E-Gilts'!A122&lt;'Adj-Gilts'!$B$10,'E-Gilts'!G122," ")</f>
        <v>171.05517862603088</v>
      </c>
      <c r="E122" s="27">
        <f>IF('E-Gilts'!A122&lt;'Adj-Gilts'!$B$10,'E-Gilts'!D122," ")</f>
        <v>0.38482183309351492</v>
      </c>
      <c r="F122" s="27"/>
      <c r="G122" s="92">
        <f t="shared" si="4"/>
        <v>140</v>
      </c>
      <c r="H122" s="28">
        <f>IF('E-Gilts'!A122&lt;'Adj-Gilts'!$B$10,'E-Gilts'!I122," ")</f>
        <v>100.46639855666318</v>
      </c>
      <c r="I122" s="126">
        <f>IF('E-Gilts'!A122&lt;'Adj-Gilts'!$B$10,'E-Gilts'!A122," ")</f>
        <v>140</v>
      </c>
      <c r="J122" s="26">
        <f>IF('E-Gilts'!A122&lt;'Adj-Gilts'!$B$10,'E-Gilts'!J122," ")</f>
        <v>1045.2595166740514</v>
      </c>
      <c r="K122" s="28">
        <f>IF('E-Gilts'!A122&lt;'Adj-Gilts'!$B$10,'E-Gilts'!N122," ")</f>
        <v>212.39751130127692</v>
      </c>
      <c r="L122" s="122">
        <f>IF('E-Gilts'!A122&lt;'Adj-Gilts'!$B$10,'E-Gilts'!K122," ")</f>
        <v>0.3416485399642476</v>
      </c>
      <c r="M122">
        <f>IF('E-Gilts'!A122&lt;'Adj-Gilts'!$B$10,'E-Gilts'!M122," ")</f>
        <v>3.0594584621477803</v>
      </c>
      <c r="N122" s="30">
        <f>IF('E-Gilts'!A122&lt;'Adj-Gilts'!$B$10,1/L122," ")</f>
        <v>2.9269845558381333</v>
      </c>
      <c r="P122" s="31">
        <f t="shared" si="5"/>
        <v>2.3044027761623314</v>
      </c>
      <c r="Q122" s="31">
        <f t="shared" si="6"/>
        <v>6.744951336257663</v>
      </c>
      <c r="R122" s="31">
        <f t="shared" si="7"/>
        <v>221.49049499369482</v>
      </c>
    </row>
    <row r="123" spans="1:18" x14ac:dyDescent="0.25">
      <c r="A123" s="28">
        <f>IF('E-Gilts'!A123&lt;'Adj-Gilts'!$B$10,'E-Gilts'!B123," ")</f>
        <v>92.553292453378816</v>
      </c>
      <c r="B123" s="26">
        <f>IF('E-Gilts'!A123&lt;'Adj-Gilts'!$B$10,'E-Gilts'!A123," ")</f>
        <v>141</v>
      </c>
      <c r="C123" s="26">
        <f>IF('E-Gilts'!A123&lt;'Adj-Gilts'!$B$10,'E-Gilts'!C123," ")</f>
        <v>947.28675118186345</v>
      </c>
      <c r="D123" s="28">
        <f>IF('E-Gilts'!A123&lt;'Adj-Gilts'!$B$10,'E-Gilts'!G123," ")</f>
        <v>173.52860612163701</v>
      </c>
      <c r="E123" s="27">
        <f>IF('E-Gilts'!A123&lt;'Adj-Gilts'!$B$10,'E-Gilts'!D123," ")</f>
        <v>0.38298545353144714</v>
      </c>
      <c r="F123" s="27"/>
      <c r="G123" s="92">
        <f t="shared" si="4"/>
        <v>141</v>
      </c>
      <c r="H123" s="28">
        <f>IF('E-Gilts'!A123&lt;'Adj-Gilts'!$B$10,'E-Gilts'!I123," ")</f>
        <v>101.51067270111163</v>
      </c>
      <c r="I123" s="126">
        <f>IF('E-Gilts'!A123&lt;'Adj-Gilts'!$B$10,'E-Gilts'!A123," ")</f>
        <v>141</v>
      </c>
      <c r="J123" s="26">
        <f>IF('E-Gilts'!A123&lt;'Adj-Gilts'!$B$10,'E-Gilts'!J123," ")</f>
        <v>1044.2741444484448</v>
      </c>
      <c r="K123" s="28">
        <f>IF('E-Gilts'!A123&lt;'Adj-Gilts'!$B$10,'E-Gilts'!N123," ")</f>
        <v>215.46874158305306</v>
      </c>
      <c r="L123" s="122">
        <f>IF('E-Gilts'!A123&lt;'Adj-Gilts'!$B$10,'E-Gilts'!K123," ")</f>
        <v>0.34001818445360227</v>
      </c>
      <c r="M123">
        <f>IF('E-Gilts'!A123&lt;'Adj-Gilts'!$B$10,'E-Gilts'!M123," ")</f>
        <v>3.071230281776129</v>
      </c>
      <c r="N123" s="30">
        <f>IF('E-Gilts'!A123&lt;'Adj-Gilts'!$B$10,1/L123," ")</f>
        <v>2.9410191740390772</v>
      </c>
      <c r="P123" s="31">
        <f t="shared" si="5"/>
        <v>2.3022304022628175</v>
      </c>
      <c r="Q123" s="31">
        <f t="shared" si="6"/>
        <v>6.770903756110644</v>
      </c>
      <c r="R123" s="31">
        <f t="shared" si="7"/>
        <v>223.79272539595769</v>
      </c>
    </row>
    <row r="124" spans="1:18" x14ac:dyDescent="0.25">
      <c r="A124" s="28">
        <f>IF('E-Gilts'!A124&lt;'Adj-Gilts'!$B$10,'E-Gilts'!B124," ")</f>
        <v>93.499607024556468</v>
      </c>
      <c r="B124" s="26">
        <f>IF('E-Gilts'!A124&lt;'Adj-Gilts'!$B$10,'E-Gilts'!A124," ")</f>
        <v>142</v>
      </c>
      <c r="C124" s="26">
        <f>IF('E-Gilts'!A124&lt;'Adj-Gilts'!$B$10,'E-Gilts'!C124," ")</f>
        <v>946.31457117765194</v>
      </c>
      <c r="D124" s="28">
        <f>IF('E-Gilts'!A124&lt;'Adj-Gilts'!$B$10,'E-Gilts'!G124," ")</f>
        <v>176.01136098539058</v>
      </c>
      <c r="E124" s="27">
        <f>IF('E-Gilts'!A124&lt;'Adj-Gilts'!$B$10,'E-Gilts'!D124," ")</f>
        <v>0.38115505682544998</v>
      </c>
      <c r="F124" s="27"/>
      <c r="G124" s="92">
        <f t="shared" si="4"/>
        <v>142</v>
      </c>
      <c r="H124" s="28">
        <f>IF('E-Gilts'!A124&lt;'Adj-Gilts'!$B$10,'E-Gilts'!I124," ")</f>
        <v>102.55387512948163</v>
      </c>
      <c r="I124" s="126">
        <f>IF('E-Gilts'!A124&lt;'Adj-Gilts'!$B$10,'E-Gilts'!A124," ")</f>
        <v>142</v>
      </c>
      <c r="J124" s="26">
        <f>IF('E-Gilts'!A124&lt;'Adj-Gilts'!$B$10,'E-Gilts'!J124," ")</f>
        <v>1043.2024283699911</v>
      </c>
      <c r="K124" s="28">
        <f>IF('E-Gilts'!A124&lt;'Adj-Gilts'!$B$10,'E-Gilts'!N124," ")</f>
        <v>218.55155356494151</v>
      </c>
      <c r="L124" s="122">
        <f>IF('E-Gilts'!A124&lt;'Adj-Gilts'!$B$10,'E-Gilts'!K124," ")</f>
        <v>0.33839314058035785</v>
      </c>
      <c r="M124">
        <f>IF('E-Gilts'!A124&lt;'Adj-Gilts'!$B$10,'E-Gilts'!M124," ")</f>
        <v>3.0828119818884541</v>
      </c>
      <c r="N124" s="30">
        <f>IF('E-Gilts'!A124&lt;'Adj-Gilts'!$B$10,1/L124," ")</f>
        <v>2.9551426435091437</v>
      </c>
      <c r="P124" s="31">
        <f t="shared" si="5"/>
        <v>2.2998676727520597</v>
      </c>
      <c r="Q124" s="31">
        <f t="shared" si="6"/>
        <v>6.7964370341777434</v>
      </c>
      <c r="R124" s="31">
        <f t="shared" si="7"/>
        <v>226.09259306870973</v>
      </c>
    </row>
    <row r="125" spans="1:18" x14ac:dyDescent="0.25">
      <c r="A125" s="28">
        <f>IF('E-Gilts'!A125&lt;'Adj-Gilts'!$B$10,'E-Gilts'!B125," ")</f>
        <v>94.444872534814436</v>
      </c>
      <c r="B125" s="26">
        <f>IF('E-Gilts'!A125&lt;'Adj-Gilts'!$B$10,'E-Gilts'!A125," ")</f>
        <v>143</v>
      </c>
      <c r="C125" s="26">
        <f>IF('E-Gilts'!A125&lt;'Adj-Gilts'!$B$10,'E-Gilts'!C125," ")</f>
        <v>945.26551025796834</v>
      </c>
      <c r="D125" s="28">
        <f>IF('E-Gilts'!A125&lt;'Adj-Gilts'!$B$10,'E-Gilts'!G125," ")</f>
        <v>178.50329222500159</v>
      </c>
      <c r="E125" s="27">
        <f>IF('E-Gilts'!A125&lt;'Adj-Gilts'!$B$10,'E-Gilts'!D125," ")</f>
        <v>0.37933049485166559</v>
      </c>
      <c r="F125" s="27"/>
      <c r="G125" s="92">
        <f t="shared" si="4"/>
        <v>143</v>
      </c>
      <c r="H125" s="28">
        <f>IF('E-Gilts'!A125&lt;'Adj-Gilts'!$B$10,'E-Gilts'!I125," ")</f>
        <v>103.59592108945067</v>
      </c>
      <c r="I125" s="126">
        <f>IF('E-Gilts'!A125&lt;'Adj-Gilts'!$B$10,'E-Gilts'!A125," ")</f>
        <v>143</v>
      </c>
      <c r="J125" s="26">
        <f>IF('E-Gilts'!A125&lt;'Adj-Gilts'!$B$10,'E-Gilts'!J125," ")</f>
        <v>1042.0459599690448</v>
      </c>
      <c r="K125" s="28">
        <f>IF('E-Gilts'!A125&lt;'Adj-Gilts'!$B$10,'E-Gilts'!N125," ")</f>
        <v>221.64575976131994</v>
      </c>
      <c r="L125" s="122">
        <f>IF('E-Gilts'!A125&lt;'Adj-Gilts'!$B$10,'E-Gilts'!K125," ")</f>
        <v>0.33677327683872282</v>
      </c>
      <c r="M125">
        <f>IF('E-Gilts'!A125&lt;'Adj-Gilts'!$B$10,'E-Gilts'!M125," ")</f>
        <v>3.0942061963784306</v>
      </c>
      <c r="N125" s="30">
        <f>IF('E-Gilts'!A125&lt;'Adj-Gilts'!$B$10,1/L125," ")</f>
        <v>2.9693567416837809</v>
      </c>
      <c r="P125" s="31">
        <f t="shared" si="5"/>
        <v>2.2973180963538802</v>
      </c>
      <c r="Q125" s="31">
        <f t="shared" si="6"/>
        <v>6.8215569772005438</v>
      </c>
      <c r="R125" s="31">
        <f t="shared" si="7"/>
        <v>228.38991116506361</v>
      </c>
    </row>
    <row r="126" spans="1:18" x14ac:dyDescent="0.25">
      <c r="A126" s="28">
        <f>IF('E-Gilts'!A126&lt;'Adj-Gilts'!$B$10,'E-Gilts'!B126," ")</f>
        <v>95.389013542220411</v>
      </c>
      <c r="B126" s="26">
        <f>IF('E-Gilts'!A126&lt;'Adj-Gilts'!$B$10,'E-Gilts'!A126," ")</f>
        <v>144</v>
      </c>
      <c r="C126" s="26">
        <f>IF('E-Gilts'!A126&lt;'Adj-Gilts'!$B$10,'E-Gilts'!C126," ")</f>
        <v>944.14100740597462</v>
      </c>
      <c r="D126" s="28">
        <f>IF('E-Gilts'!A126&lt;'Adj-Gilts'!$B$10,'E-Gilts'!G126," ")</f>
        <v>181.00425096435629</v>
      </c>
      <c r="E126" s="27">
        <f>IF('E-Gilts'!A126&lt;'Adj-Gilts'!$B$10,'E-Gilts'!D126," ")</f>
        <v>0.3775116288602115</v>
      </c>
      <c r="F126" s="27"/>
      <c r="G126" s="92">
        <f t="shared" si="4"/>
        <v>144</v>
      </c>
      <c r="H126" s="28">
        <f>IF('E-Gilts'!A126&lt;'Adj-Gilts'!$B$10,'E-Gilts'!I126," ")</f>
        <v>104.63672741500888</v>
      </c>
      <c r="I126" s="126">
        <f>IF('E-Gilts'!A126&lt;'Adj-Gilts'!$B$10,'E-Gilts'!A126," ")</f>
        <v>144</v>
      </c>
      <c r="J126" s="26">
        <f>IF('E-Gilts'!A126&lt;'Adj-Gilts'!$B$10,'E-Gilts'!J126," ")</f>
        <v>1040.8063255582072</v>
      </c>
      <c r="K126" s="28">
        <f>IF('E-Gilts'!A126&lt;'Adj-Gilts'!$B$10,'E-Gilts'!N126," ")</f>
        <v>224.75117531420096</v>
      </c>
      <c r="L126" s="122">
        <f>IF('E-Gilts'!A126&lt;'Adj-Gilts'!$B$10,'E-Gilts'!K126," ")</f>
        <v>0.33515847004521143</v>
      </c>
      <c r="M126">
        <f>IF('E-Gilts'!A126&lt;'Adj-Gilts'!$B$10,'E-Gilts'!M126," ")</f>
        <v>3.1054155528810203</v>
      </c>
      <c r="N126" s="30">
        <f>IF('E-Gilts'!A126&lt;'Adj-Gilts'!$B$10,1/L126," ")</f>
        <v>2.9836632201630002</v>
      </c>
      <c r="P126" s="31">
        <f t="shared" si="5"/>
        <v>2.2945851702889253</v>
      </c>
      <c r="Q126" s="31">
        <f t="shared" si="6"/>
        <v>6.8462693781225203</v>
      </c>
      <c r="R126" s="31">
        <f t="shared" si="7"/>
        <v>230.68449633535255</v>
      </c>
    </row>
    <row r="127" spans="1:18" x14ac:dyDescent="0.25">
      <c r="A127" s="28">
        <f>IF('E-Gilts'!A127&lt;'Adj-Gilts'!$B$10,'E-Gilts'!B127," ")</f>
        <v>96.331956038519181</v>
      </c>
      <c r="B127" s="26">
        <f>IF('E-Gilts'!A127&lt;'Adj-Gilts'!$B$10,'E-Gilts'!A127," ")</f>
        <v>145</v>
      </c>
      <c r="C127" s="26">
        <f>IF('E-Gilts'!A127&lt;'Adj-Gilts'!$B$10,'E-Gilts'!C127," ")</f>
        <v>942.94249629876958</v>
      </c>
      <c r="D127" s="28">
        <f>IF('E-Gilts'!A127&lt;'Adj-Gilts'!$B$10,'E-Gilts'!G127," ")</f>
        <v>183.51409043711712</v>
      </c>
      <c r="E127" s="27">
        <f>IF('E-Gilts'!A127&lt;'Adj-Gilts'!$B$10,'E-Gilts'!D127," ")</f>
        <v>0.37569832912920587</v>
      </c>
      <c r="F127" s="27"/>
      <c r="G127" s="92">
        <f t="shared" si="4"/>
        <v>145</v>
      </c>
      <c r="H127" s="28">
        <f>IF('E-Gilts'!A127&lt;'Adj-Gilts'!$B$10,'E-Gilts'!I127," ")</f>
        <v>105.67621252060964</v>
      </c>
      <c r="I127" s="126">
        <f>IF('E-Gilts'!A127&lt;'Adj-Gilts'!$B$10,'E-Gilts'!A127," ")</f>
        <v>145</v>
      </c>
      <c r="J127" s="26">
        <f>IF('E-Gilts'!A127&lt;'Adj-Gilts'!$B$10,'E-Gilts'!J127," ")</f>
        <v>1039.4851056007583</v>
      </c>
      <c r="K127" s="28">
        <f>IF('E-Gilts'!A127&lt;'Adj-Gilts'!$B$10,'E-Gilts'!N127," ")</f>
        <v>227.86761798528525</v>
      </c>
      <c r="L127" s="122">
        <f>IF('E-Gilts'!A127&lt;'Adj-Gilts'!$B$10,'E-Gilts'!K127," ")</f>
        <v>0.33354860503148415</v>
      </c>
      <c r="M127">
        <f>IF('E-Gilts'!A127&lt;'Adj-Gilts'!$B$10,'E-Gilts'!M127," ")</f>
        <v>3.1164426710842932</v>
      </c>
      <c r="N127" s="30">
        <f>IF('E-Gilts'!A127&lt;'Adj-Gilts'!$B$10,1/L127," ")</f>
        <v>2.9980638051405086</v>
      </c>
      <c r="P127" s="31">
        <f t="shared" si="5"/>
        <v>2.291672378882295</v>
      </c>
      <c r="Q127" s="31">
        <f t="shared" si="6"/>
        <v>6.870580012367256</v>
      </c>
      <c r="R127" s="31">
        <f t="shared" si="7"/>
        <v>232.97616871423486</v>
      </c>
    </row>
    <row r="128" spans="1:18" x14ac:dyDescent="0.25">
      <c r="A128" s="28">
        <f>IF('E-Gilts'!A128&lt;'Adj-Gilts'!$B$10,'E-Gilts'!B128," ")</f>
        <v>97.273627443273156</v>
      </c>
      <c r="B128" s="26">
        <f>IF('E-Gilts'!A128&lt;'Adj-Gilts'!$B$10,'E-Gilts'!A128," ")</f>
        <v>146</v>
      </c>
      <c r="C128" s="26">
        <f>IF('E-Gilts'!A128&lt;'Adj-Gilts'!$B$10,'E-Gilts'!C128," ")</f>
        <v>941.67140475397559</v>
      </c>
      <c r="D128" s="28">
        <f>IF('E-Gilts'!A128&lt;'Adj-Gilts'!$B$10,'E-Gilts'!G128," ")</f>
        <v>186.03266597903692</v>
      </c>
      <c r="E128" s="27">
        <f>IF('E-Gilts'!A128&lt;'Adj-Gilts'!$B$10,'E-Gilts'!D128," ")</f>
        <v>0.37389047462764613</v>
      </c>
      <c r="F128" s="27"/>
      <c r="G128" s="92">
        <f t="shared" si="4"/>
        <v>146</v>
      </c>
      <c r="H128" s="28">
        <f>IF('E-Gilts'!A128&lt;'Adj-Gilts'!$B$10,'E-Gilts'!I128," ")</f>
        <v>106.71429639471022</v>
      </c>
      <c r="I128" s="126">
        <f>IF('E-Gilts'!A128&lt;'Adj-Gilts'!$B$10,'E-Gilts'!A128," ")</f>
        <v>146</v>
      </c>
      <c r="J128" s="26">
        <f>IF('E-Gilts'!A128&lt;'Adj-Gilts'!$B$10,'E-Gilts'!J128," ")</f>
        <v>1038.0838741005823</v>
      </c>
      <c r="K128" s="28">
        <f>IF('E-Gilts'!A128&lt;'Adj-Gilts'!$B$10,'E-Gilts'!N128," ")</f>
        <v>230.99490814641823</v>
      </c>
      <c r="L128" s="122">
        <f>IF('E-Gilts'!A128&lt;'Adj-Gilts'!$B$10,'E-Gilts'!K128," ")</f>
        <v>0.33194357434504806</v>
      </c>
      <c r="M128">
        <f>IF('E-Gilts'!A128&lt;'Adj-Gilts'!$B$10,'E-Gilts'!M128," ")</f>
        <v>3.1272901611329784</v>
      </c>
      <c r="N128" s="30">
        <f>IF('E-Gilts'!A128&lt;'Adj-Gilts'!$B$10,1/L128," ")</f>
        <v>3.0125601978380878</v>
      </c>
      <c r="P128" s="31">
        <f t="shared" si="5"/>
        <v>2.2885831922185602</v>
      </c>
      <c r="Q128" s="31">
        <f t="shared" si="6"/>
        <v>6.8944946343188676</v>
      </c>
      <c r="R128" s="31">
        <f t="shared" si="7"/>
        <v>235.2647519064534</v>
      </c>
    </row>
    <row r="129" spans="1:18" x14ac:dyDescent="0.25">
      <c r="A129" s="28">
        <f>IF('E-Gilts'!A129&lt;'Adj-Gilts'!$B$10,'E-Gilts'!B129," ")</f>
        <v>98.213956597470343</v>
      </c>
      <c r="B129" s="26">
        <f>IF('E-Gilts'!A129&lt;'Adj-Gilts'!$B$10,'E-Gilts'!A129," ")</f>
        <v>147</v>
      </c>
      <c r="C129" s="26">
        <f>IF('E-Gilts'!A129&lt;'Adj-Gilts'!$B$10,'E-Gilts'!C129," ")</f>
        <v>940.32915419718677</v>
      </c>
      <c r="D129" s="28">
        <f>IF('E-Gilts'!A129&lt;'Adj-Gilts'!$B$10,'E-Gilts'!G129," ")</f>
        <v>188.55983501905908</v>
      </c>
      <c r="E129" s="27">
        <f>IF('E-Gilts'!A129&lt;'Adj-Gilts'!$B$10,'E-Gilts'!D129," ")</f>
        <v>0.37208795268754408</v>
      </c>
      <c r="F129" s="27"/>
      <c r="G129" s="92">
        <f t="shared" si="4"/>
        <v>147</v>
      </c>
      <c r="H129" s="28">
        <f>IF('E-Gilts'!A129&lt;'Adj-Gilts'!$B$10,'E-Gilts'!I129," ")</f>
        <v>107.75090059272532</v>
      </c>
      <c r="I129" s="126">
        <f>IF('E-Gilts'!A129&lt;'Adj-Gilts'!$B$10,'E-Gilts'!A129," ")</f>
        <v>147</v>
      </c>
      <c r="J129" s="26">
        <f>IF('E-Gilts'!A129&lt;'Adj-Gilts'!$B$10,'E-Gilts'!J129," ")</f>
        <v>1036.6041980150915</v>
      </c>
      <c r="K129" s="28">
        <f>IF('E-Gilts'!A129&lt;'Adj-Gilts'!$B$10,'E-Gilts'!N129," ")</f>
        <v>234.13286876853911</v>
      </c>
      <c r="L129" s="122">
        <f>IF('E-Gilts'!A129&lt;'Adj-Gilts'!$B$10,'E-Gilts'!K129," ")</f>
        <v>0.33034327795817509</v>
      </c>
      <c r="M129">
        <f>IF('E-Gilts'!A129&lt;'Adj-Gilts'!$B$10,'E-Gilts'!M129," ")</f>
        <v>3.1379606221208971</v>
      </c>
      <c r="N129" s="30">
        <f>IF('E-Gilts'!A129&lt;'Adj-Gilts'!$B$10,1/L129," ")</f>
        <v>3.0271540749396162</v>
      </c>
      <c r="P129" s="31">
        <f t="shared" si="5"/>
        <v>2.2853210648474787</v>
      </c>
      <c r="Q129" s="31">
        <f t="shared" si="6"/>
        <v>6.9180189739983877</v>
      </c>
      <c r="R129" s="31">
        <f t="shared" si="7"/>
        <v>237.55007297130086</v>
      </c>
    </row>
    <row r="130" spans="1:18" x14ac:dyDescent="0.25">
      <c r="A130" s="28">
        <f>IF('E-Gilts'!A130&lt;'Adj-Gilts'!$B$10,'E-Gilts'!B130," ")</f>
        <v>99.152873756618789</v>
      </c>
      <c r="B130" s="26">
        <f>IF('E-Gilts'!A130&lt;'Adj-Gilts'!$B$10,'E-Gilts'!A130," ")</f>
        <v>148</v>
      </c>
      <c r="C130" s="26">
        <f>IF('E-Gilts'!A130&lt;'Adj-Gilts'!$B$10,'E-Gilts'!C130," ")</f>
        <v>938.91715914844553</v>
      </c>
      <c r="D130" s="28">
        <f>IF('E-Gilts'!A130&lt;'Adj-Gilts'!$B$10,'E-Gilts'!G130," ")</f>
        <v>191.0954570692727</v>
      </c>
      <c r="E130" s="27">
        <f>IF('E-Gilts'!A130&lt;'Adj-Gilts'!$B$10,'E-Gilts'!D130," ")</f>
        <v>0.37029065868446037</v>
      </c>
      <c r="F130" s="27"/>
      <c r="G130" s="92">
        <f t="shared" si="4"/>
        <v>148</v>
      </c>
      <c r="H130" s="28">
        <f>IF('E-Gilts'!A130&lt;'Adj-Gilts'!$B$10,'E-Gilts'!I130," ")</f>
        <v>108.78594822941444</v>
      </c>
      <c r="I130" s="126">
        <f>IF('E-Gilts'!A130&lt;'Adj-Gilts'!$B$10,'E-Gilts'!A130," ")</f>
        <v>148</v>
      </c>
      <c r="J130" s="26">
        <f>IF('E-Gilts'!A130&lt;'Adj-Gilts'!$B$10,'E-Gilts'!J130," ")</f>
        <v>1035.0476366891253</v>
      </c>
      <c r="K130" s="28">
        <f>IF('E-Gilts'!A130&lt;'Adj-Gilts'!$B$10,'E-Gilts'!N130," ")</f>
        <v>237.28132540920851</v>
      </c>
      <c r="L130" s="122">
        <f>IF('E-Gilts'!A130&lt;'Adj-Gilts'!$B$10,'E-Gilts'!K130," ")</f>
        <v>0.32874762298427751</v>
      </c>
      <c r="M130">
        <f>IF('E-Gilts'!A130&lt;'Adj-Gilts'!$B$10,'E-Gilts'!M130," ")</f>
        <v>3.148456640669389</v>
      </c>
      <c r="N130" s="30">
        <f>IF('E-Gilts'!A130&lt;'Adj-Gilts'!$B$10,1/L130," ")</f>
        <v>3.0418470890292197</v>
      </c>
      <c r="P130" s="31">
        <f t="shared" si="5"/>
        <v>2.2818894345359584</v>
      </c>
      <c r="Q130" s="31">
        <f t="shared" si="6"/>
        <v>6.9411587339297371</v>
      </c>
      <c r="R130" s="31">
        <f t="shared" si="7"/>
        <v>239.83196240583683</v>
      </c>
    </row>
    <row r="131" spans="1:18" x14ac:dyDescent="0.25">
      <c r="A131" s="28">
        <f>IF('E-Gilts'!A131&lt;'Adj-Gilts'!$B$10,'E-Gilts'!B131," ")</f>
        <v>100.09031058334716</v>
      </c>
      <c r="B131" s="26">
        <f>IF('E-Gilts'!A131&lt;'Adj-Gilts'!$B$10,'E-Gilts'!A131," ")</f>
        <v>149</v>
      </c>
      <c r="C131" s="26">
        <f>IF('E-Gilts'!A131&lt;'Adj-Gilts'!$B$10,'E-Gilts'!C131," ")</f>
        <v>937.43682672837281</v>
      </c>
      <c r="D131" s="28">
        <f>IF('E-Gilts'!A131&lt;'Adj-Gilts'!$B$10,'E-Gilts'!G131," ")</f>
        <v>193.63939371379004</v>
      </c>
      <c r="E131" s="27">
        <f>IF('E-Gilts'!A131&lt;'Adj-Gilts'!$B$10,'E-Gilts'!D131," ")</f>
        <v>0.36849849572658266</v>
      </c>
      <c r="F131" s="27"/>
      <c r="G131" s="92">
        <f t="shared" si="4"/>
        <v>149</v>
      </c>
      <c r="H131" s="28">
        <f>IF('E-Gilts'!A131&lt;'Adj-Gilts'!$B$10,'E-Gilts'!I131," ")</f>
        <v>109.81936397072496</v>
      </c>
      <c r="I131" s="126">
        <f>IF('E-Gilts'!A131&lt;'Adj-Gilts'!$B$10,'E-Gilts'!A131," ")</f>
        <v>149</v>
      </c>
      <c r="J131" s="26">
        <f>IF('E-Gilts'!A131&lt;'Adj-Gilts'!$B$10,'E-Gilts'!J131," ")</f>
        <v>1033.415741310517</v>
      </c>
      <c r="K131" s="28">
        <f>IF('E-Gilts'!A131&lt;'Adj-Gilts'!$B$10,'E-Gilts'!N131," ")</f>
        <v>240.44010619879742</v>
      </c>
      <c r="L131" s="122">
        <f>IF('E-Gilts'!A131&lt;'Adj-Gilts'!$B$10,'E-Gilts'!K131," ")</f>
        <v>0.32715652340186863</v>
      </c>
      <c r="M131">
        <f>IF('E-Gilts'!A131&lt;'Adj-Gilts'!$B$10,'E-Gilts'!M131," ")</f>
        <v>3.1587807895889091</v>
      </c>
      <c r="N131" s="30">
        <f>IF('E-Gilts'!A131&lt;'Adj-Gilts'!$B$10,1/L131," ")</f>
        <v>3.0566408690302409</v>
      </c>
      <c r="P131" s="31">
        <f t="shared" si="5"/>
        <v>2.278291721067788</v>
      </c>
      <c r="Q131" s="31">
        <f t="shared" si="6"/>
        <v>6.9639195861890464</v>
      </c>
      <c r="R131" s="31">
        <f t="shared" si="7"/>
        <v>242.11025412690466</v>
      </c>
    </row>
    <row r="132" spans="1:18" x14ac:dyDescent="0.25">
      <c r="A132" s="28">
        <f>IF('E-Gilts'!A132&lt;'Adj-Gilts'!$B$10,'E-Gilts'!B132," ")</f>
        <v>101.02620013953069</v>
      </c>
      <c r="B132" s="26">
        <f>IF('E-Gilts'!A132&lt;'Adj-Gilts'!$B$10,'E-Gilts'!A132," ")</f>
        <v>150</v>
      </c>
      <c r="C132" s="26">
        <f>IF('E-Gilts'!A132&lt;'Adj-Gilts'!$B$10,'E-Gilts'!C132," ")</f>
        <v>935.88955618352543</v>
      </c>
      <c r="D132" s="28">
        <f>IF('E-Gilts'!A132&lt;'Adj-Gilts'!$B$10,'E-Gilts'!G132," ")</f>
        <v>196.19150859661065</v>
      </c>
      <c r="E132" s="27">
        <f>IF('E-Gilts'!A132&lt;'Adj-Gilts'!$B$10,'E-Gilts'!D132," ")</f>
        <v>0.36671137435207374</v>
      </c>
      <c r="F132" s="27"/>
      <c r="G132" s="92">
        <f t="shared" ref="G132:G185" si="8">IFERROR(I132,"")</f>
        <v>150</v>
      </c>
      <c r="H132" s="28">
        <f>IF('E-Gilts'!A132&lt;'Adj-Gilts'!$B$10,'E-Gilts'!I132," ")</f>
        <v>110.85107402511181</v>
      </c>
      <c r="I132" s="126">
        <f>IF('E-Gilts'!A132&lt;'Adj-Gilts'!$B$10,'E-Gilts'!A132," ")</f>
        <v>150</v>
      </c>
      <c r="J132" s="26">
        <f>IF('E-Gilts'!A132&lt;'Adj-Gilts'!$B$10,'E-Gilts'!J132," ")</f>
        <v>1031.7100543868532</v>
      </c>
      <c r="K132" s="28">
        <f>IF('E-Gilts'!A132&lt;'Adj-Gilts'!$B$10,'E-Gilts'!N132," ")</f>
        <v>243.60904182541842</v>
      </c>
      <c r="L132" s="122">
        <f>IF('E-Gilts'!A132&lt;'Adj-Gilts'!$B$10,'E-Gilts'!K132," ")</f>
        <v>0.32556989978586526</v>
      </c>
      <c r="M132">
        <f>IF('E-Gilts'!A132&lt;'Adj-Gilts'!$B$10,'E-Gilts'!M132," ")</f>
        <v>3.1689356266209878</v>
      </c>
      <c r="N132" s="30">
        <f>IF('E-Gilts'!A132&lt;'Adj-Gilts'!$B$10,1/L132," ")</f>
        <v>3.0715370206450987</v>
      </c>
      <c r="P132" s="31">
        <f t="shared" si="5"/>
        <v>2.2745313250900874</v>
      </c>
      <c r="Q132" s="31">
        <f t="shared" si="6"/>
        <v>6.9863071696311554</v>
      </c>
      <c r="R132" s="31">
        <f t="shared" si="7"/>
        <v>244.38478545199473</v>
      </c>
    </row>
    <row r="133" spans="1:18" x14ac:dyDescent="0.25">
      <c r="A133" s="28">
        <f>IF('E-Gilts'!A133&lt;'Adj-Gilts'!$B$10,'E-Gilts'!B133," ")</f>
        <v>101.96047687796181</v>
      </c>
      <c r="B133" s="26">
        <f>IF('E-Gilts'!A133&lt;'Adj-Gilts'!$B$10,'E-Gilts'!A133," ")</f>
        <v>151</v>
      </c>
      <c r="C133" s="26">
        <f>IF('E-Gilts'!A133&lt;'Adj-Gilts'!$B$10,'E-Gilts'!C133," ")</f>
        <v>934.27673843112302</v>
      </c>
      <c r="D133" s="28">
        <f>IF('E-Gilts'!A133&lt;'Adj-Gilts'!$B$10,'E-Gilts'!G133," ")</f>
        <v>198.75166740853484</v>
      </c>
      <c r="E133" s="27">
        <f>IF('E-Gilts'!A133&lt;'Adj-Gilts'!$B$10,'E-Gilts'!D133," ")</f>
        <v>0.36492921223466135</v>
      </c>
      <c r="F133" s="27"/>
      <c r="G133" s="92">
        <f t="shared" si="8"/>
        <v>151</v>
      </c>
      <c r="H133" s="28">
        <f>IF('E-Gilts'!A133&lt;'Adj-Gilts'!$B$10,'E-Gilts'!I133," ")</f>
        <v>111.8810061343554</v>
      </c>
      <c r="I133" s="126">
        <f>IF('E-Gilts'!A133&lt;'Adj-Gilts'!$B$10,'E-Gilts'!A133," ")</f>
        <v>151</v>
      </c>
      <c r="J133" s="26">
        <f>IF('E-Gilts'!A133&lt;'Adj-Gilts'!$B$10,'E-Gilts'!J133," ")</f>
        <v>1029.93210924359</v>
      </c>
      <c r="K133" s="28">
        <f>IF('E-Gilts'!A133&lt;'Adj-Gilts'!$B$10,'E-Gilts'!N133," ")</f>
        <v>246.7879655186762</v>
      </c>
      <c r="L133" s="122">
        <f>IF('E-Gilts'!A133&lt;'Adj-Gilts'!$B$10,'E-Gilts'!K133," ")</f>
        <v>0.32398767904620784</v>
      </c>
      <c r="M133">
        <f>IF('E-Gilts'!A133&lt;'Adj-Gilts'!$B$10,'E-Gilts'!M133," ")</f>
        <v>3.1789236932577882</v>
      </c>
      <c r="N133" s="30">
        <f>IF('E-Gilts'!A133&lt;'Adj-Gilts'!$B$10,1/L133," ")</f>
        <v>3.0865371267941883</v>
      </c>
      <c r="P133" s="31">
        <f t="shared" ref="P133:P185" si="9">IFERROR(IF(J133&lt;0,"",CONVERT(J133,"g", "lbm")),"")</f>
        <v>2.270611627006843</v>
      </c>
      <c r="Q133" s="31">
        <f t="shared" ref="Q133:Q185" si="10">IFERROR(IF(M133&lt;0,"",CONVERT(M133,"kg", "lbm")),"")</f>
        <v>7.0083270872871779</v>
      </c>
      <c r="R133" s="31">
        <f t="shared" ref="R133:R185" si="11">IFERROR(IF(H133&lt;0,"",CONVERT(H133,"kg", "lbm")),"")</f>
        <v>246.65539707900157</v>
      </c>
    </row>
    <row r="134" spans="1:18" x14ac:dyDescent="0.25">
      <c r="A134" s="28">
        <f>IF('E-Gilts'!A134&lt;'Adj-Gilts'!$B$10,'E-Gilts'!B134," ")</f>
        <v>102.8930766335839</v>
      </c>
      <c r="B134" s="26">
        <f>IF('E-Gilts'!A134&lt;'Adj-Gilts'!$B$10,'E-Gilts'!A134," ")</f>
        <v>152</v>
      </c>
      <c r="C134" s="26">
        <f>IF('E-Gilts'!A134&lt;'Adj-Gilts'!$B$10,'E-Gilts'!C134," ")</f>
        <v>932.59975562209263</v>
      </c>
      <c r="D134" s="28">
        <f>IF('E-Gilts'!A134&lt;'Adj-Gilts'!$B$10,'E-Gilts'!G134," ")</f>
        <v>201.31973787318691</v>
      </c>
      <c r="E134" s="27">
        <f>IF('E-Gilts'!A134&lt;'Adj-Gilts'!$B$10,'E-Gilts'!D134," ")</f>
        <v>0.36315193389697298</v>
      </c>
      <c r="F134" s="27"/>
      <c r="G134" s="92">
        <f t="shared" si="8"/>
        <v>152</v>
      </c>
      <c r="H134" s="28">
        <f>IF('E-Gilts'!A134&lt;'Adj-Gilts'!$B$10,'E-Gilts'!I134," ")</f>
        <v>112.90908956389777</v>
      </c>
      <c r="I134" s="126">
        <f>IF('E-Gilts'!A134&lt;'Adj-Gilts'!$B$10,'E-Gilts'!A134," ")</f>
        <v>152</v>
      </c>
      <c r="J134" s="26">
        <f>IF('E-Gilts'!A134&lt;'Adj-Gilts'!$B$10,'E-Gilts'!J134," ")</f>
        <v>1028.083429542359</v>
      </c>
      <c r="K134" s="28">
        <f>IF('E-Gilts'!A134&lt;'Adj-Gilts'!$B$10,'E-Gilts'!N134," ")</f>
        <v>249.97671303231274</v>
      </c>
      <c r="L134" s="122">
        <f>IF('E-Gilts'!A134&lt;'Adj-Gilts'!$B$10,'E-Gilts'!K134," ")</f>
        <v>0.32240979417335619</v>
      </c>
      <c r="M134">
        <f>IF('E-Gilts'!A134&lt;'Adj-Gilts'!$B$10,'E-Gilts'!M134," ")</f>
        <v>3.1887475136365429</v>
      </c>
      <c r="N134" s="30">
        <f>IF('E-Gilts'!A134&lt;'Adj-Gilts'!$B$10,1/L134," ")</f>
        <v>3.1016427480559448</v>
      </c>
      <c r="P134" s="31">
        <f t="shared" si="9"/>
        <v>2.2665359859169567</v>
      </c>
      <c r="Q134" s="31">
        <f t="shared" si="10"/>
        <v>7.0299849039271605</v>
      </c>
      <c r="R134" s="31">
        <f t="shared" si="11"/>
        <v>248.92193306491853</v>
      </c>
    </row>
    <row r="135" spans="1:18" x14ac:dyDescent="0.25">
      <c r="A135" s="28">
        <f>IF('E-Gilts'!A135&lt;'Adj-Gilts'!$B$10,'E-Gilts'!B135," ")</f>
        <v>103.82393661430683</v>
      </c>
      <c r="B135" s="26">
        <f>IF('E-Gilts'!A135&lt;'Adj-Gilts'!$B$10,'E-Gilts'!A135," ")</f>
        <v>153</v>
      </c>
      <c r="C135" s="26">
        <f>IF('E-Gilts'!A135&lt;'Adj-Gilts'!$B$10,'E-Gilts'!C135," ")</f>
        <v>930.85998072292853</v>
      </c>
      <c r="D135" s="28">
        <f>IF('E-Gilts'!A135&lt;'Adj-Gilts'!$B$10,'E-Gilts'!G135," ")</f>
        <v>203.89558973220593</v>
      </c>
      <c r="E135" s="27">
        <f>IF('E-Gilts'!A135&lt;'Adj-Gilts'!$B$10,'E-Gilts'!D135," ")</f>
        <v>0.36137947043174962</v>
      </c>
      <c r="F135" s="27"/>
      <c r="G135" s="92">
        <f t="shared" si="8"/>
        <v>153</v>
      </c>
      <c r="H135" s="28">
        <f>IF('E-Gilts'!A135&lt;'Adj-Gilts'!$B$10,'E-Gilts'!I135," ")</f>
        <v>113.93525509271778</v>
      </c>
      <c r="I135" s="126">
        <f>IF('E-Gilts'!A135&lt;'Adj-Gilts'!$B$10,'E-Gilts'!A135," ")</f>
        <v>153</v>
      </c>
      <c r="J135" s="26">
        <f>IF('E-Gilts'!A135&lt;'Adj-Gilts'!$B$10,'E-Gilts'!J135," ")</f>
        <v>1026.1655288200163</v>
      </c>
      <c r="K135" s="28">
        <f>IF('E-Gilts'!A135&lt;'Adj-Gilts'!$B$10,'E-Gilts'!N135," ")</f>
        <v>253.17512262581889</v>
      </c>
      <c r="L135" s="122">
        <f>IF('E-Gilts'!A135&lt;'Adj-Gilts'!$B$10,'E-Gilts'!K135," ")</f>
        <v>0.32083618399078012</v>
      </c>
      <c r="M135">
        <f>IF('E-Gilts'!A135&lt;'Adj-Gilts'!$B$10,'E-Gilts'!M135," ")</f>
        <v>3.1984095935061534</v>
      </c>
      <c r="N135" s="30">
        <f>IF('E-Gilts'!A135&lt;'Adj-Gilts'!$B$10,1/L135," ")</f>
        <v>3.1168554231050729</v>
      </c>
      <c r="P135" s="31">
        <f t="shared" si="9"/>
        <v>2.2623077385980199</v>
      </c>
      <c r="Q135" s="31">
        <f t="shared" si="10"/>
        <v>7.0512861437818133</v>
      </c>
      <c r="R135" s="31">
        <f t="shared" si="11"/>
        <v>251.18424080351653</v>
      </c>
    </row>
    <row r="136" spans="1:18" x14ac:dyDescent="0.25">
      <c r="A136" s="28">
        <f>IF('E-Gilts'!A136&lt;'Adj-Gilts'!$B$10,'E-Gilts'!B136," ")</f>
        <v>104.7529953914225</v>
      </c>
      <c r="B136" s="26">
        <f>IF('E-Gilts'!A136&lt;'Adj-Gilts'!$B$10,'E-Gilts'!A136," ")</f>
        <v>154</v>
      </c>
      <c r="C136" s="26">
        <f>IF('E-Gilts'!A136&lt;'Adj-Gilts'!$B$10,'E-Gilts'!C136," ")</f>
        <v>929.05877711567086</v>
      </c>
      <c r="D136" s="28">
        <f>IF('E-Gilts'!A136&lt;'Adj-Gilts'!$B$10,'E-Gilts'!G136," ")</f>
        <v>206.47909472966046</v>
      </c>
      <c r="E136" s="27">
        <f>IF('E-Gilts'!A136&lt;'Adj-Gilts'!$B$10,'E-Gilts'!D136," ")</f>
        <v>0.35961175923060146</v>
      </c>
      <c r="F136" s="27"/>
      <c r="G136" s="92">
        <f t="shared" si="8"/>
        <v>154</v>
      </c>
      <c r="H136" s="28">
        <f>IF('E-Gilts'!A136&lt;'Adj-Gilts'!$B$10,'E-Gilts'!I136," ")</f>
        <v>114.95943500276545</v>
      </c>
      <c r="I136" s="126">
        <f>IF('E-Gilts'!A136&lt;'Adj-Gilts'!$B$10,'E-Gilts'!A136," ")</f>
        <v>154</v>
      </c>
      <c r="J136" s="26">
        <f>IF('E-Gilts'!A136&lt;'Adj-Gilts'!$B$10,'E-Gilts'!J136," ")</f>
        <v>1024.1799100476649</v>
      </c>
      <c r="K136" s="28">
        <f>IF('E-Gilts'!A136&lt;'Adj-Gilts'!$B$10,'E-Gilts'!N136," ")</f>
        <v>256.38303504508224</v>
      </c>
      <c r="L136" s="122">
        <f>IF('E-Gilts'!A136&lt;'Adj-Gilts'!$B$10,'E-Gilts'!K136," ")</f>
        <v>0.31926679291414661</v>
      </c>
      <c r="M136">
        <f>IF('E-Gilts'!A136&lt;'Adj-Gilts'!$B$10,'E-Gilts'!M136," ")</f>
        <v>3.207912419263331</v>
      </c>
      <c r="N136" s="30">
        <f>IF('E-Gilts'!A136&lt;'Adj-Gilts'!$B$10,1/L136," ")</f>
        <v>3.1321766691498918</v>
      </c>
      <c r="P136" s="31">
        <f t="shared" si="9"/>
        <v>2.257930198534126</v>
      </c>
      <c r="Q136" s="31">
        <f t="shared" si="10"/>
        <v>7.0722362884175736</v>
      </c>
      <c r="R136" s="31">
        <f t="shared" si="11"/>
        <v>253.44217100205069</v>
      </c>
    </row>
    <row r="137" spans="1:18" x14ac:dyDescent="0.25">
      <c r="A137" s="28">
        <f>IF('E-Gilts'!A137&lt;'Adj-Gilts'!$B$10,'E-Gilts'!B137," ")</f>
        <v>105.6801928896386</v>
      </c>
      <c r="B137" s="26">
        <f>IF('E-Gilts'!A137&lt;'Adj-Gilts'!$B$10,'E-Gilts'!A137," ")</f>
        <v>155</v>
      </c>
      <c r="C137" s="26">
        <f>IF('E-Gilts'!A137&lt;'Adj-Gilts'!$B$10,'E-Gilts'!C137," ")</f>
        <v>927.19749821610264</v>
      </c>
      <c r="D137" s="28">
        <f>IF('E-Gilts'!A137&lt;'Adj-Gilts'!$B$10,'E-Gilts'!G137," ")</f>
        <v>209.07012659574079</v>
      </c>
      <c r="E137" s="27">
        <f>IF('E-Gilts'!A137&lt;'Adj-Gilts'!$B$10,'E-Gilts'!D137," ")</f>
        <v>0.35784874372029529</v>
      </c>
      <c r="F137" s="27"/>
      <c r="G137" s="92">
        <f t="shared" si="8"/>
        <v>155</v>
      </c>
      <c r="H137" s="28">
        <f>IF('E-Gilts'!A137&lt;'Adj-Gilts'!$B$10,'E-Gilts'!I137," ")</f>
        <v>115.9815630679752</v>
      </c>
      <c r="I137" s="126">
        <f>IF('E-Gilts'!A137&lt;'Adj-Gilts'!$B$10,'E-Gilts'!A137," ")</f>
        <v>155</v>
      </c>
      <c r="J137" s="26">
        <f>IF('E-Gilts'!A137&lt;'Adj-Gilts'!$B$10,'E-Gilts'!J137," ")</f>
        <v>1022.1280652097618</v>
      </c>
      <c r="K137" s="28">
        <f>IF('E-Gilts'!A137&lt;'Adj-Gilts'!$B$10,'E-Gilts'!N137," ")</f>
        <v>259.6002935021379</v>
      </c>
      <c r="L137" s="122">
        <f>IF('E-Gilts'!A137&lt;'Adj-Gilts'!$B$10,'E-Gilts'!K137," ")</f>
        <v>0.31770157071719279</v>
      </c>
      <c r="M137">
        <f>IF('E-Gilts'!A137&lt;'Adj-Gilts'!$B$10,'E-Gilts'!M137," ")</f>
        <v>3.2172584570556801</v>
      </c>
      <c r="N137" s="30">
        <f>IF('E-Gilts'!A137&lt;'Adj-Gilts'!$B$10,1/L137," ")</f>
        <v>3.1476079823670946</v>
      </c>
      <c r="P137" s="31">
        <f t="shared" si="9"/>
        <v>2.2534066549879612</v>
      </c>
      <c r="Q137" s="31">
        <f t="shared" si="10"/>
        <v>7.0928407747592406</v>
      </c>
      <c r="R137" s="31">
        <f t="shared" si="11"/>
        <v>255.69557765703865</v>
      </c>
    </row>
    <row r="138" spans="1:18" x14ac:dyDescent="0.25">
      <c r="A138" s="28" t="str">
        <f>IF('E-Gilts'!A138&lt;'Adj-Gilts'!$B$10,'E-Gilts'!B138," ")</f>
        <v xml:space="preserve"> </v>
      </c>
      <c r="B138" s="26" t="str">
        <f>IF('E-Gilts'!A138&lt;'Adj-Gilts'!$B$10,'E-Gilts'!A138," ")</f>
        <v xml:space="preserve"> </v>
      </c>
      <c r="C138" s="26" t="str">
        <f>IF('E-Gilts'!A138&lt;'Adj-Gilts'!$B$10,'E-Gilts'!C138," ")</f>
        <v xml:space="preserve"> </v>
      </c>
      <c r="D138" s="28" t="str">
        <f>IF('E-Gilts'!A138&lt;'Adj-Gilts'!$B$10,'E-Gilts'!G138," ")</f>
        <v xml:space="preserve"> </v>
      </c>
      <c r="E138" s="27" t="str">
        <f>IF('E-Gilts'!A138&lt;'Adj-Gilts'!$B$10,'E-Gilts'!D138," ")</f>
        <v xml:space="preserve"> </v>
      </c>
      <c r="F138" s="27"/>
      <c r="G138" s="92" t="str">
        <f t="shared" si="8"/>
        <v xml:space="preserve"> </v>
      </c>
      <c r="H138" s="28" t="str">
        <f>IF('E-Gilts'!A138&lt;'Adj-Gilts'!$B$10,'E-Gilts'!I138," ")</f>
        <v xml:space="preserve"> </v>
      </c>
      <c r="I138" s="126" t="str">
        <f>IF('E-Gilts'!A138&lt;'Adj-Gilts'!$B$10,'E-Gilts'!A138," ")</f>
        <v xml:space="preserve"> </v>
      </c>
      <c r="J138" s="26" t="str">
        <f>IF('E-Gilts'!A138&lt;'Adj-Gilts'!$B$10,'E-Gilts'!J138," ")</f>
        <v xml:space="preserve"> </v>
      </c>
      <c r="K138" s="28" t="str">
        <f>IF('E-Gilts'!A138&lt;'Adj-Gilts'!$B$10,'E-Gilts'!N138," ")</f>
        <v xml:space="preserve"> </v>
      </c>
      <c r="L138" s="122" t="str">
        <f>IF('E-Gilts'!A138&lt;'Adj-Gilts'!$B$10,'E-Gilts'!K138," ")</f>
        <v xml:space="preserve"> </v>
      </c>
      <c r="M138" t="str">
        <f>IF('E-Gilts'!A138&lt;'Adj-Gilts'!$B$10,'E-Gilts'!M138," ")</f>
        <v xml:space="preserve"> </v>
      </c>
      <c r="N138" s="30" t="str">
        <f>IF('E-Gilts'!A138&lt;'Adj-Gilts'!$B$10,1/L138," ")</f>
        <v xml:space="preserve"> </v>
      </c>
      <c r="P138" s="31" t="str">
        <f t="shared" si="9"/>
        <v/>
      </c>
      <c r="Q138" s="31" t="str">
        <f t="shared" si="10"/>
        <v/>
      </c>
      <c r="R138" s="31" t="str">
        <f t="shared" si="11"/>
        <v/>
      </c>
    </row>
    <row r="139" spans="1:18" x14ac:dyDescent="0.25">
      <c r="A139" s="28" t="str">
        <f>IF('E-Gilts'!A139&lt;'Adj-Gilts'!$B$10,'E-Gilts'!B139," ")</f>
        <v xml:space="preserve"> </v>
      </c>
      <c r="B139" s="26" t="str">
        <f>IF('E-Gilts'!A139&lt;'Adj-Gilts'!$B$10,'E-Gilts'!A139," ")</f>
        <v xml:space="preserve"> </v>
      </c>
      <c r="C139" s="26" t="str">
        <f>IF('E-Gilts'!A139&lt;'Adj-Gilts'!$B$10,'E-Gilts'!C139," ")</f>
        <v xml:space="preserve"> </v>
      </c>
      <c r="D139" s="28" t="str">
        <f>IF('E-Gilts'!A139&lt;'Adj-Gilts'!$B$10,'E-Gilts'!G139," ")</f>
        <v xml:space="preserve"> </v>
      </c>
      <c r="E139" s="27" t="str">
        <f>IF('E-Gilts'!A139&lt;'Adj-Gilts'!$B$10,'E-Gilts'!D139," ")</f>
        <v xml:space="preserve"> </v>
      </c>
      <c r="F139" s="27"/>
      <c r="G139" s="92" t="str">
        <f t="shared" si="8"/>
        <v xml:space="preserve"> </v>
      </c>
      <c r="H139" s="28" t="str">
        <f>IF('E-Gilts'!A139&lt;'Adj-Gilts'!$B$10,'E-Gilts'!I139," ")</f>
        <v xml:space="preserve"> </v>
      </c>
      <c r="I139" s="126" t="str">
        <f>IF('E-Gilts'!A139&lt;'Adj-Gilts'!$B$10,'E-Gilts'!A139," ")</f>
        <v xml:space="preserve"> </v>
      </c>
      <c r="J139" s="26" t="str">
        <f>IF('E-Gilts'!A139&lt;'Adj-Gilts'!$B$10,'E-Gilts'!J139," ")</f>
        <v xml:space="preserve"> </v>
      </c>
      <c r="K139" s="28" t="str">
        <f>IF('E-Gilts'!A139&lt;'Adj-Gilts'!$B$10,'E-Gilts'!N139," ")</f>
        <v xml:space="preserve"> </v>
      </c>
      <c r="L139" s="122" t="str">
        <f>IF('E-Gilts'!A139&lt;'Adj-Gilts'!$B$10,'E-Gilts'!K139," ")</f>
        <v xml:space="preserve"> </v>
      </c>
      <c r="M139" t="str">
        <f>IF('E-Gilts'!A139&lt;'Adj-Gilts'!$B$10,'E-Gilts'!M139," ")</f>
        <v xml:space="preserve"> </v>
      </c>
      <c r="N139" s="30" t="str">
        <f>IF('E-Gilts'!A139&lt;'Adj-Gilts'!$B$10,1/L139," ")</f>
        <v xml:space="preserve"> </v>
      </c>
      <c r="P139" s="31" t="str">
        <f t="shared" si="9"/>
        <v/>
      </c>
      <c r="Q139" s="31" t="str">
        <f t="shared" si="10"/>
        <v/>
      </c>
      <c r="R139" s="31" t="str">
        <f t="shared" si="11"/>
        <v/>
      </c>
    </row>
    <row r="140" spans="1:18" x14ac:dyDescent="0.25">
      <c r="A140" s="28" t="str">
        <f>IF('E-Gilts'!A140&lt;'Adj-Gilts'!$B$10,'E-Gilts'!B140," ")</f>
        <v xml:space="preserve"> </v>
      </c>
      <c r="B140" s="26" t="str">
        <f>IF('E-Gilts'!A140&lt;'Adj-Gilts'!$B$10,'E-Gilts'!A140," ")</f>
        <v xml:space="preserve"> </v>
      </c>
      <c r="C140" s="26" t="str">
        <f>IF('E-Gilts'!A140&lt;'Adj-Gilts'!$B$10,'E-Gilts'!C140," ")</f>
        <v xml:space="preserve"> </v>
      </c>
      <c r="D140" s="28" t="str">
        <f>IF('E-Gilts'!A140&lt;'Adj-Gilts'!$B$10,'E-Gilts'!G140," ")</f>
        <v xml:space="preserve"> </v>
      </c>
      <c r="E140" s="27" t="str">
        <f>IF('E-Gilts'!A140&lt;'Adj-Gilts'!$B$10,'E-Gilts'!D140," ")</f>
        <v xml:space="preserve"> </v>
      </c>
      <c r="F140" s="27"/>
      <c r="G140" s="92" t="str">
        <f t="shared" si="8"/>
        <v xml:space="preserve"> </v>
      </c>
      <c r="H140" s="28" t="str">
        <f>IF('E-Gilts'!A140&lt;'Adj-Gilts'!$B$10,'E-Gilts'!I140," ")</f>
        <v xml:space="preserve"> </v>
      </c>
      <c r="I140" s="126" t="str">
        <f>IF('E-Gilts'!A140&lt;'Adj-Gilts'!$B$10,'E-Gilts'!A140," ")</f>
        <v xml:space="preserve"> </v>
      </c>
      <c r="J140" s="26" t="str">
        <f>IF('E-Gilts'!A140&lt;'Adj-Gilts'!$B$10,'E-Gilts'!J140," ")</f>
        <v xml:space="preserve"> </v>
      </c>
      <c r="K140" s="28" t="str">
        <f>IF('E-Gilts'!A140&lt;'Adj-Gilts'!$B$10,'E-Gilts'!N140," ")</f>
        <v xml:space="preserve"> </v>
      </c>
      <c r="L140" s="122" t="str">
        <f>IF('E-Gilts'!A140&lt;'Adj-Gilts'!$B$10,'E-Gilts'!K140," ")</f>
        <v xml:space="preserve"> </v>
      </c>
      <c r="M140" t="str">
        <f>IF('E-Gilts'!A140&lt;'Adj-Gilts'!$B$10,'E-Gilts'!M140," ")</f>
        <v xml:space="preserve"> </v>
      </c>
      <c r="N140" s="30" t="str">
        <f>IF('E-Gilts'!A140&lt;'Adj-Gilts'!$B$10,1/L140," ")</f>
        <v xml:space="preserve"> </v>
      </c>
      <c r="P140" s="31" t="str">
        <f t="shared" si="9"/>
        <v/>
      </c>
      <c r="Q140" s="31" t="str">
        <f t="shared" si="10"/>
        <v/>
      </c>
      <c r="R140" s="31" t="str">
        <f t="shared" si="11"/>
        <v/>
      </c>
    </row>
    <row r="141" spans="1:18" x14ac:dyDescent="0.25">
      <c r="A141" s="28" t="str">
        <f>IF('E-Gilts'!A141&lt;'Adj-Gilts'!$B$10,'E-Gilts'!B141," ")</f>
        <v xml:space="preserve"> </v>
      </c>
      <c r="B141" s="26" t="str">
        <f>IF('E-Gilts'!A141&lt;'Adj-Gilts'!$B$10,'E-Gilts'!A141," ")</f>
        <v xml:space="preserve"> </v>
      </c>
      <c r="C141" s="26" t="str">
        <f>IF('E-Gilts'!A141&lt;'Adj-Gilts'!$B$10,'E-Gilts'!C141," ")</f>
        <v xml:space="preserve"> </v>
      </c>
      <c r="D141" s="28" t="str">
        <f>IF('E-Gilts'!A141&lt;'Adj-Gilts'!$B$10,'E-Gilts'!G141," ")</f>
        <v xml:space="preserve"> </v>
      </c>
      <c r="E141" s="27" t="str">
        <f>IF('E-Gilts'!A141&lt;'Adj-Gilts'!$B$10,'E-Gilts'!D141," ")</f>
        <v xml:space="preserve"> </v>
      </c>
      <c r="F141" s="27"/>
      <c r="G141" s="92" t="str">
        <f t="shared" si="8"/>
        <v xml:space="preserve"> </v>
      </c>
      <c r="H141" s="28" t="str">
        <f>IF('E-Gilts'!A141&lt;'Adj-Gilts'!$B$10,'E-Gilts'!I141," ")</f>
        <v xml:space="preserve"> </v>
      </c>
      <c r="I141" s="126" t="str">
        <f>IF('E-Gilts'!A141&lt;'Adj-Gilts'!$B$10,'E-Gilts'!A141," ")</f>
        <v xml:space="preserve"> </v>
      </c>
      <c r="J141" s="26" t="str">
        <f>IF('E-Gilts'!A141&lt;'Adj-Gilts'!$B$10,'E-Gilts'!J141," ")</f>
        <v xml:space="preserve"> </v>
      </c>
      <c r="K141" s="28" t="str">
        <f>IF('E-Gilts'!A141&lt;'Adj-Gilts'!$B$10,'E-Gilts'!N141," ")</f>
        <v xml:space="preserve"> </v>
      </c>
      <c r="L141" s="122" t="str">
        <f>IF('E-Gilts'!A141&lt;'Adj-Gilts'!$B$10,'E-Gilts'!K141," ")</f>
        <v xml:space="preserve"> </v>
      </c>
      <c r="M141" t="str">
        <f>IF('E-Gilts'!A141&lt;'Adj-Gilts'!$B$10,'E-Gilts'!M141," ")</f>
        <v xml:space="preserve"> </v>
      </c>
      <c r="N141" s="30" t="str">
        <f>IF('E-Gilts'!A141&lt;'Adj-Gilts'!$B$10,1/L141," ")</f>
        <v xml:space="preserve"> </v>
      </c>
      <c r="P141" s="31" t="str">
        <f t="shared" si="9"/>
        <v/>
      </c>
      <c r="Q141" s="31" t="str">
        <f t="shared" si="10"/>
        <v/>
      </c>
      <c r="R141" s="31" t="str">
        <f t="shared" si="11"/>
        <v/>
      </c>
    </row>
    <row r="142" spans="1:18" x14ac:dyDescent="0.25">
      <c r="A142" s="28" t="str">
        <f>IF('E-Gilts'!A142&lt;'Adj-Gilts'!$B$10,'E-Gilts'!B142," ")</f>
        <v xml:space="preserve"> </v>
      </c>
      <c r="B142" s="26" t="str">
        <f>IF('E-Gilts'!A142&lt;'Adj-Gilts'!$B$10,'E-Gilts'!A142," ")</f>
        <v xml:space="preserve"> </v>
      </c>
      <c r="C142" s="26" t="str">
        <f>IF('E-Gilts'!A142&lt;'Adj-Gilts'!$B$10,'E-Gilts'!C142," ")</f>
        <v xml:space="preserve"> </v>
      </c>
      <c r="D142" s="28" t="str">
        <f>IF('E-Gilts'!A142&lt;'Adj-Gilts'!$B$10,'E-Gilts'!G142," ")</f>
        <v xml:space="preserve"> </v>
      </c>
      <c r="E142" s="27" t="str">
        <f>IF('E-Gilts'!A142&lt;'Adj-Gilts'!$B$10,'E-Gilts'!D142," ")</f>
        <v xml:space="preserve"> </v>
      </c>
      <c r="F142" s="27"/>
      <c r="G142" s="92" t="str">
        <f t="shared" si="8"/>
        <v xml:space="preserve"> </v>
      </c>
      <c r="H142" s="28" t="str">
        <f>IF('E-Gilts'!A142&lt;'Adj-Gilts'!$B$10,'E-Gilts'!I142," ")</f>
        <v xml:space="preserve"> </v>
      </c>
      <c r="I142" s="126" t="str">
        <f>IF('E-Gilts'!A142&lt;'Adj-Gilts'!$B$10,'E-Gilts'!A142," ")</f>
        <v xml:space="preserve"> </v>
      </c>
      <c r="J142" s="26" t="str">
        <f>IF('E-Gilts'!A142&lt;'Adj-Gilts'!$B$10,'E-Gilts'!J142," ")</f>
        <v xml:space="preserve"> </v>
      </c>
      <c r="K142" s="28" t="str">
        <f>IF('E-Gilts'!A142&lt;'Adj-Gilts'!$B$10,'E-Gilts'!N142," ")</f>
        <v xml:space="preserve"> </v>
      </c>
      <c r="L142" s="122" t="str">
        <f>IF('E-Gilts'!A142&lt;'Adj-Gilts'!$B$10,'E-Gilts'!K142," ")</f>
        <v xml:space="preserve"> </v>
      </c>
      <c r="M142" t="str">
        <f>IF('E-Gilts'!A142&lt;'Adj-Gilts'!$B$10,'E-Gilts'!M142," ")</f>
        <v xml:space="preserve"> </v>
      </c>
      <c r="N142" s="30" t="str">
        <f>IF('E-Gilts'!A142&lt;'Adj-Gilts'!$B$10,1/L142," ")</f>
        <v xml:space="preserve"> </v>
      </c>
      <c r="P142" s="31" t="str">
        <f t="shared" si="9"/>
        <v/>
      </c>
      <c r="Q142" s="31" t="str">
        <f t="shared" si="10"/>
        <v/>
      </c>
      <c r="R142" s="31" t="str">
        <f t="shared" si="11"/>
        <v/>
      </c>
    </row>
    <row r="143" spans="1:18" x14ac:dyDescent="0.25">
      <c r="A143" s="28" t="str">
        <f>IF('E-Gilts'!A143&lt;'Adj-Gilts'!$B$10,'E-Gilts'!B143," ")</f>
        <v xml:space="preserve"> </v>
      </c>
      <c r="B143" s="26" t="str">
        <f>IF('E-Gilts'!A143&lt;'Adj-Gilts'!$B$10,'E-Gilts'!A143," ")</f>
        <v xml:space="preserve"> </v>
      </c>
      <c r="C143" s="26" t="str">
        <f>IF('E-Gilts'!A143&lt;'Adj-Gilts'!$B$10,'E-Gilts'!C143," ")</f>
        <v xml:space="preserve"> </v>
      </c>
      <c r="D143" s="28" t="str">
        <f>IF('E-Gilts'!A143&lt;'Adj-Gilts'!$B$10,'E-Gilts'!G143," ")</f>
        <v xml:space="preserve"> </v>
      </c>
      <c r="E143" s="27" t="str">
        <f>IF('E-Gilts'!A143&lt;'Adj-Gilts'!$B$10,'E-Gilts'!D143," ")</f>
        <v xml:space="preserve"> </v>
      </c>
      <c r="F143" s="27"/>
      <c r="G143" s="92" t="str">
        <f t="shared" si="8"/>
        <v xml:space="preserve"> </v>
      </c>
      <c r="H143" s="28" t="str">
        <f>IF('E-Gilts'!A143&lt;'Adj-Gilts'!$B$10,'E-Gilts'!I143," ")</f>
        <v xml:space="preserve"> </v>
      </c>
      <c r="I143" s="126" t="str">
        <f>IF('E-Gilts'!A143&lt;'Adj-Gilts'!$B$10,'E-Gilts'!A143," ")</f>
        <v xml:space="preserve"> </v>
      </c>
      <c r="J143" s="26" t="str">
        <f>IF('E-Gilts'!A143&lt;'Adj-Gilts'!$B$10,'E-Gilts'!J143," ")</f>
        <v xml:space="preserve"> </v>
      </c>
      <c r="K143" s="28" t="str">
        <f>IF('E-Gilts'!A143&lt;'Adj-Gilts'!$B$10,'E-Gilts'!N143," ")</f>
        <v xml:space="preserve"> </v>
      </c>
      <c r="L143" s="122" t="str">
        <f>IF('E-Gilts'!A143&lt;'Adj-Gilts'!$B$10,'E-Gilts'!K143," ")</f>
        <v xml:space="preserve"> </v>
      </c>
      <c r="M143" t="str">
        <f>IF('E-Gilts'!A143&lt;'Adj-Gilts'!$B$10,'E-Gilts'!M143," ")</f>
        <v xml:space="preserve"> </v>
      </c>
      <c r="N143" s="30" t="str">
        <f>IF('E-Gilts'!A143&lt;'Adj-Gilts'!$B$10,1/L143," ")</f>
        <v xml:space="preserve"> </v>
      </c>
      <c r="P143" s="31" t="str">
        <f t="shared" si="9"/>
        <v/>
      </c>
      <c r="Q143" s="31" t="str">
        <f t="shared" si="10"/>
        <v/>
      </c>
      <c r="R143" s="31" t="str">
        <f t="shared" si="11"/>
        <v/>
      </c>
    </row>
    <row r="144" spans="1:18" x14ac:dyDescent="0.25">
      <c r="A144" s="28" t="str">
        <f>IF('E-Gilts'!A144&lt;'Adj-Gilts'!$B$10,'E-Gilts'!B144," ")</f>
        <v xml:space="preserve"> </v>
      </c>
      <c r="B144" s="26" t="str">
        <f>IF('E-Gilts'!A144&lt;'Adj-Gilts'!$B$10,'E-Gilts'!A144," ")</f>
        <v xml:space="preserve"> </v>
      </c>
      <c r="C144" s="26" t="str">
        <f>IF('E-Gilts'!A144&lt;'Adj-Gilts'!$B$10,'E-Gilts'!C144," ")</f>
        <v xml:space="preserve"> </v>
      </c>
      <c r="D144" s="28" t="str">
        <f>IF('E-Gilts'!A144&lt;'Adj-Gilts'!$B$10,'E-Gilts'!G144," ")</f>
        <v xml:space="preserve"> </v>
      </c>
      <c r="E144" s="27" t="str">
        <f>IF('E-Gilts'!A144&lt;'Adj-Gilts'!$B$10,'E-Gilts'!D144," ")</f>
        <v xml:space="preserve"> </v>
      </c>
      <c r="F144" s="27"/>
      <c r="G144" s="92" t="str">
        <f t="shared" si="8"/>
        <v xml:space="preserve"> </v>
      </c>
      <c r="H144" s="28" t="str">
        <f>IF('E-Gilts'!A144&lt;'Adj-Gilts'!$B$10,'E-Gilts'!I144," ")</f>
        <v xml:space="preserve"> </v>
      </c>
      <c r="I144" s="126" t="str">
        <f>IF('E-Gilts'!A144&lt;'Adj-Gilts'!$B$10,'E-Gilts'!A144," ")</f>
        <v xml:space="preserve"> </v>
      </c>
      <c r="J144" s="26" t="str">
        <f>IF('E-Gilts'!A144&lt;'Adj-Gilts'!$B$10,'E-Gilts'!J144," ")</f>
        <v xml:space="preserve"> </v>
      </c>
      <c r="K144" s="28" t="str">
        <f>IF('E-Gilts'!A144&lt;'Adj-Gilts'!$B$10,'E-Gilts'!N144," ")</f>
        <v xml:space="preserve"> </v>
      </c>
      <c r="L144" s="122" t="str">
        <f>IF('E-Gilts'!A144&lt;'Adj-Gilts'!$B$10,'E-Gilts'!K144," ")</f>
        <v xml:space="preserve"> </v>
      </c>
      <c r="M144" t="str">
        <f>IF('E-Gilts'!A144&lt;'Adj-Gilts'!$B$10,'E-Gilts'!M144," ")</f>
        <v xml:space="preserve"> </v>
      </c>
      <c r="N144" s="30" t="str">
        <f>IF('E-Gilts'!A144&lt;'Adj-Gilts'!$B$10,1/L144," ")</f>
        <v xml:space="preserve"> </v>
      </c>
      <c r="P144" s="31" t="str">
        <f t="shared" si="9"/>
        <v/>
      </c>
      <c r="Q144" s="31" t="str">
        <f t="shared" si="10"/>
        <v/>
      </c>
      <c r="R144" s="31" t="str">
        <f t="shared" si="11"/>
        <v/>
      </c>
    </row>
    <row r="145" spans="1:18" x14ac:dyDescent="0.25">
      <c r="A145" s="28" t="str">
        <f>IF('E-Gilts'!A145&lt;'Adj-Gilts'!$B$10,'E-Gilts'!B145," ")</f>
        <v xml:space="preserve"> </v>
      </c>
      <c r="B145" s="26" t="str">
        <f>IF('E-Gilts'!A145&lt;'Adj-Gilts'!$B$10,'E-Gilts'!A145," ")</f>
        <v xml:space="preserve"> </v>
      </c>
      <c r="C145" s="26" t="str">
        <f>IF('E-Gilts'!A145&lt;'Adj-Gilts'!$B$10,'E-Gilts'!C145," ")</f>
        <v xml:space="preserve"> </v>
      </c>
      <c r="D145" s="28" t="str">
        <f>IF('E-Gilts'!A145&lt;'Adj-Gilts'!$B$10,'E-Gilts'!G145," ")</f>
        <v xml:space="preserve"> </v>
      </c>
      <c r="E145" s="27" t="str">
        <f>IF('E-Gilts'!A145&lt;'Adj-Gilts'!$B$10,'E-Gilts'!D145," ")</f>
        <v xml:space="preserve"> </v>
      </c>
      <c r="F145" s="27"/>
      <c r="G145" s="92" t="str">
        <f t="shared" si="8"/>
        <v xml:space="preserve"> </v>
      </c>
      <c r="H145" s="28" t="str">
        <f>IF('E-Gilts'!A145&lt;'Adj-Gilts'!$B$10,'E-Gilts'!I145," ")</f>
        <v xml:space="preserve"> </v>
      </c>
      <c r="I145" s="126" t="str">
        <f>IF('E-Gilts'!A145&lt;'Adj-Gilts'!$B$10,'E-Gilts'!A145," ")</f>
        <v xml:space="preserve"> </v>
      </c>
      <c r="J145" s="26" t="str">
        <f>IF('E-Gilts'!A145&lt;'Adj-Gilts'!$B$10,'E-Gilts'!J145," ")</f>
        <v xml:space="preserve"> </v>
      </c>
      <c r="K145" s="28" t="str">
        <f>IF('E-Gilts'!A145&lt;'Adj-Gilts'!$B$10,'E-Gilts'!N145," ")</f>
        <v xml:space="preserve"> </v>
      </c>
      <c r="L145" s="122" t="str">
        <f>IF('E-Gilts'!A145&lt;'Adj-Gilts'!$B$10,'E-Gilts'!K145," ")</f>
        <v xml:space="preserve"> </v>
      </c>
      <c r="M145" t="str">
        <f>IF('E-Gilts'!A145&lt;'Adj-Gilts'!$B$10,'E-Gilts'!M145," ")</f>
        <v xml:space="preserve"> </v>
      </c>
      <c r="N145" s="30" t="str">
        <f>IF('E-Gilts'!A145&lt;'Adj-Gilts'!$B$10,1/L145," ")</f>
        <v xml:space="preserve"> </v>
      </c>
      <c r="P145" s="31" t="str">
        <f t="shared" si="9"/>
        <v/>
      </c>
      <c r="Q145" s="31" t="str">
        <f t="shared" si="10"/>
        <v/>
      </c>
      <c r="R145" s="31" t="str">
        <f t="shared" si="11"/>
        <v/>
      </c>
    </row>
    <row r="146" spans="1:18" x14ac:dyDescent="0.25">
      <c r="A146" s="28" t="str">
        <f>IF('E-Gilts'!A146&lt;'Adj-Gilts'!$B$10,'E-Gilts'!B146," ")</f>
        <v xml:space="preserve"> </v>
      </c>
      <c r="B146" s="26" t="str">
        <f>IF('E-Gilts'!A146&lt;'Adj-Gilts'!$B$10,'E-Gilts'!A146," ")</f>
        <v xml:space="preserve"> </v>
      </c>
      <c r="C146" s="26" t="str">
        <f>IF('E-Gilts'!A146&lt;'Adj-Gilts'!$B$10,'E-Gilts'!C146," ")</f>
        <v xml:space="preserve"> </v>
      </c>
      <c r="D146" s="28" t="str">
        <f>IF('E-Gilts'!A146&lt;'Adj-Gilts'!$B$10,'E-Gilts'!G146," ")</f>
        <v xml:space="preserve"> </v>
      </c>
      <c r="E146" s="27" t="str">
        <f>IF('E-Gilts'!A146&lt;'Adj-Gilts'!$B$10,'E-Gilts'!D146," ")</f>
        <v xml:space="preserve"> </v>
      </c>
      <c r="F146" s="27"/>
      <c r="G146" s="92" t="str">
        <f t="shared" si="8"/>
        <v xml:space="preserve"> </v>
      </c>
      <c r="H146" s="28" t="str">
        <f>IF('E-Gilts'!A146&lt;'Adj-Gilts'!$B$10,'E-Gilts'!I146," ")</f>
        <v xml:space="preserve"> </v>
      </c>
      <c r="I146" s="126" t="str">
        <f>IF('E-Gilts'!A146&lt;'Adj-Gilts'!$B$10,'E-Gilts'!A146," ")</f>
        <v xml:space="preserve"> </v>
      </c>
      <c r="J146" s="26" t="str">
        <f>IF('E-Gilts'!A146&lt;'Adj-Gilts'!$B$10,'E-Gilts'!J146," ")</f>
        <v xml:space="preserve"> </v>
      </c>
      <c r="K146" s="28" t="str">
        <f>IF('E-Gilts'!A146&lt;'Adj-Gilts'!$B$10,'E-Gilts'!N146," ")</f>
        <v xml:space="preserve"> </v>
      </c>
      <c r="L146" s="122" t="str">
        <f>IF('E-Gilts'!A146&lt;'Adj-Gilts'!$B$10,'E-Gilts'!K146," ")</f>
        <v xml:space="preserve"> </v>
      </c>
      <c r="M146" t="str">
        <f>IF('E-Gilts'!A146&lt;'Adj-Gilts'!$B$10,'E-Gilts'!M146," ")</f>
        <v xml:space="preserve"> </v>
      </c>
      <c r="N146" s="30" t="str">
        <f>IF('E-Gilts'!A146&lt;'Adj-Gilts'!$B$10,1/L146," ")</f>
        <v xml:space="preserve"> </v>
      </c>
      <c r="P146" s="31" t="str">
        <f t="shared" si="9"/>
        <v/>
      </c>
      <c r="Q146" s="31" t="str">
        <f t="shared" si="10"/>
        <v/>
      </c>
      <c r="R146" s="31" t="str">
        <f t="shared" si="11"/>
        <v/>
      </c>
    </row>
    <row r="147" spans="1:18" x14ac:dyDescent="0.25">
      <c r="A147" s="28" t="str">
        <f>IF('E-Gilts'!A147&lt;'Adj-Gilts'!$B$10,'E-Gilts'!B147," ")</f>
        <v xml:space="preserve"> </v>
      </c>
      <c r="B147" s="26" t="str">
        <f>IF('E-Gilts'!A147&lt;'Adj-Gilts'!$B$10,'E-Gilts'!A147," ")</f>
        <v xml:space="preserve"> </v>
      </c>
      <c r="C147" s="26" t="str">
        <f>IF('E-Gilts'!A147&lt;'Adj-Gilts'!$B$10,'E-Gilts'!C147," ")</f>
        <v xml:space="preserve"> </v>
      </c>
      <c r="D147" s="28" t="str">
        <f>IF('E-Gilts'!A147&lt;'Adj-Gilts'!$B$10,'E-Gilts'!G147," ")</f>
        <v xml:space="preserve"> </v>
      </c>
      <c r="E147" s="27" t="str">
        <f>IF('E-Gilts'!A147&lt;'Adj-Gilts'!$B$10,'E-Gilts'!D147," ")</f>
        <v xml:space="preserve"> </v>
      </c>
      <c r="F147" s="27"/>
      <c r="G147" s="92" t="str">
        <f t="shared" si="8"/>
        <v xml:space="preserve"> </v>
      </c>
      <c r="H147" s="28" t="str">
        <f>IF('E-Gilts'!A147&lt;'Adj-Gilts'!$B$10,'E-Gilts'!I147," ")</f>
        <v xml:space="preserve"> </v>
      </c>
      <c r="I147" s="126" t="str">
        <f>IF('E-Gilts'!A147&lt;'Adj-Gilts'!$B$10,'E-Gilts'!A147," ")</f>
        <v xml:space="preserve"> </v>
      </c>
      <c r="J147" s="26" t="str">
        <f>IF('E-Gilts'!A147&lt;'Adj-Gilts'!$B$10,'E-Gilts'!J147," ")</f>
        <v xml:space="preserve"> </v>
      </c>
      <c r="K147" s="28" t="str">
        <f>IF('E-Gilts'!A147&lt;'Adj-Gilts'!$B$10,'E-Gilts'!N147," ")</f>
        <v xml:space="preserve"> </v>
      </c>
      <c r="L147" s="122" t="str">
        <f>IF('E-Gilts'!A147&lt;'Adj-Gilts'!$B$10,'E-Gilts'!K147," ")</f>
        <v xml:space="preserve"> </v>
      </c>
      <c r="M147" t="str">
        <f>IF('E-Gilts'!A147&lt;'Adj-Gilts'!$B$10,'E-Gilts'!M147," ")</f>
        <v xml:space="preserve"> </v>
      </c>
      <c r="N147" s="30" t="str">
        <f>IF('E-Gilts'!A147&lt;'Adj-Gilts'!$B$10,1/L147," ")</f>
        <v xml:space="preserve"> </v>
      </c>
      <c r="P147" s="31" t="str">
        <f t="shared" si="9"/>
        <v/>
      </c>
      <c r="Q147" s="31" t="str">
        <f t="shared" si="10"/>
        <v/>
      </c>
      <c r="R147" s="31" t="str">
        <f t="shared" si="11"/>
        <v/>
      </c>
    </row>
    <row r="148" spans="1:18" x14ac:dyDescent="0.25">
      <c r="A148" s="28" t="str">
        <f>IF('E-Gilts'!A148&lt;'Adj-Gilts'!$B$10,'E-Gilts'!B148," ")</f>
        <v xml:space="preserve"> </v>
      </c>
      <c r="B148" s="26" t="str">
        <f>IF('E-Gilts'!A148&lt;'Adj-Gilts'!$B$10,'E-Gilts'!A148," ")</f>
        <v xml:space="preserve"> </v>
      </c>
      <c r="C148" s="26" t="str">
        <f>IF('E-Gilts'!A148&lt;'Adj-Gilts'!$B$10,'E-Gilts'!C148," ")</f>
        <v xml:space="preserve"> </v>
      </c>
      <c r="D148" s="28" t="str">
        <f>IF('E-Gilts'!A148&lt;'Adj-Gilts'!$B$10,'E-Gilts'!G148," ")</f>
        <v xml:space="preserve"> </v>
      </c>
      <c r="E148" s="27" t="str">
        <f>IF('E-Gilts'!A148&lt;'Adj-Gilts'!$B$10,'E-Gilts'!D148," ")</f>
        <v xml:space="preserve"> </v>
      </c>
      <c r="F148" s="27"/>
      <c r="G148" s="92" t="str">
        <f t="shared" si="8"/>
        <v xml:space="preserve"> </v>
      </c>
      <c r="H148" s="28" t="str">
        <f>IF('E-Gilts'!A148&lt;'Adj-Gilts'!$B$10,'E-Gilts'!I148," ")</f>
        <v xml:space="preserve"> </v>
      </c>
      <c r="I148" s="126" t="str">
        <f>IF('E-Gilts'!A148&lt;'Adj-Gilts'!$B$10,'E-Gilts'!A148," ")</f>
        <v xml:space="preserve"> </v>
      </c>
      <c r="J148" s="26" t="str">
        <f>IF('E-Gilts'!A148&lt;'Adj-Gilts'!$B$10,'E-Gilts'!J148," ")</f>
        <v xml:space="preserve"> </v>
      </c>
      <c r="K148" s="28" t="str">
        <f>IF('E-Gilts'!A148&lt;'Adj-Gilts'!$B$10,'E-Gilts'!N148," ")</f>
        <v xml:space="preserve"> </v>
      </c>
      <c r="L148" s="122" t="str">
        <f>IF('E-Gilts'!A148&lt;'Adj-Gilts'!$B$10,'E-Gilts'!K148," ")</f>
        <v xml:space="preserve"> </v>
      </c>
      <c r="M148" t="str">
        <f>IF('E-Gilts'!A148&lt;'Adj-Gilts'!$B$10,'E-Gilts'!M148," ")</f>
        <v xml:space="preserve"> </v>
      </c>
      <c r="N148" s="30" t="str">
        <f>IF('E-Gilts'!A148&lt;'Adj-Gilts'!$B$10,1/L148," ")</f>
        <v xml:space="preserve"> </v>
      </c>
      <c r="P148" s="31" t="str">
        <f t="shared" si="9"/>
        <v/>
      </c>
      <c r="Q148" s="31" t="str">
        <f t="shared" si="10"/>
        <v/>
      </c>
      <c r="R148" s="31" t="str">
        <f t="shared" si="11"/>
        <v/>
      </c>
    </row>
    <row r="149" spans="1:18" x14ac:dyDescent="0.25">
      <c r="A149" s="28" t="str">
        <f>IF('E-Gilts'!A149&lt;'Adj-Gilts'!$B$10,'E-Gilts'!B149," ")</f>
        <v xml:space="preserve"> </v>
      </c>
      <c r="B149" s="26" t="str">
        <f>IF('E-Gilts'!A149&lt;'Adj-Gilts'!$B$10,'E-Gilts'!A149," ")</f>
        <v xml:space="preserve"> </v>
      </c>
      <c r="C149" s="26" t="str">
        <f>IF('E-Gilts'!A149&lt;'Adj-Gilts'!$B$10,'E-Gilts'!C149," ")</f>
        <v xml:space="preserve"> </v>
      </c>
      <c r="D149" s="28" t="str">
        <f>IF('E-Gilts'!A149&lt;'Adj-Gilts'!$B$10,'E-Gilts'!G149," ")</f>
        <v xml:space="preserve"> </v>
      </c>
      <c r="E149" s="27" t="str">
        <f>IF('E-Gilts'!A149&lt;'Adj-Gilts'!$B$10,'E-Gilts'!D149," ")</f>
        <v xml:space="preserve"> </v>
      </c>
      <c r="F149" s="27"/>
      <c r="G149" s="92" t="str">
        <f t="shared" si="8"/>
        <v xml:space="preserve"> </v>
      </c>
      <c r="H149" s="28" t="str">
        <f>IF('E-Gilts'!A149&lt;'Adj-Gilts'!$B$10,'E-Gilts'!I149," ")</f>
        <v xml:space="preserve"> </v>
      </c>
      <c r="I149" s="126" t="str">
        <f>IF('E-Gilts'!A149&lt;'Adj-Gilts'!$B$10,'E-Gilts'!A149," ")</f>
        <v xml:space="preserve"> </v>
      </c>
      <c r="J149" s="26" t="str">
        <f>IF('E-Gilts'!A149&lt;'Adj-Gilts'!$B$10,'E-Gilts'!J149," ")</f>
        <v xml:space="preserve"> </v>
      </c>
      <c r="K149" s="28" t="str">
        <f>IF('E-Gilts'!A149&lt;'Adj-Gilts'!$B$10,'E-Gilts'!N149," ")</f>
        <v xml:space="preserve"> </v>
      </c>
      <c r="L149" s="122" t="str">
        <f>IF('E-Gilts'!A149&lt;'Adj-Gilts'!$B$10,'E-Gilts'!K149," ")</f>
        <v xml:space="preserve"> </v>
      </c>
      <c r="M149" t="str">
        <f>IF('E-Gilts'!A149&lt;'Adj-Gilts'!$B$10,'E-Gilts'!M149," ")</f>
        <v xml:space="preserve"> </v>
      </c>
      <c r="N149" s="30" t="str">
        <f>IF('E-Gilts'!A149&lt;'Adj-Gilts'!$B$10,1/L149," ")</f>
        <v xml:space="preserve"> </v>
      </c>
      <c r="P149" s="31" t="str">
        <f t="shared" si="9"/>
        <v/>
      </c>
      <c r="Q149" s="31" t="str">
        <f t="shared" si="10"/>
        <v/>
      </c>
      <c r="R149" s="31" t="str">
        <f t="shared" si="11"/>
        <v/>
      </c>
    </row>
    <row r="150" spans="1:18" x14ac:dyDescent="0.25">
      <c r="A150" s="28" t="str">
        <f>IF('E-Gilts'!A150&lt;'Adj-Gilts'!$B$10,'E-Gilts'!B150," ")</f>
        <v xml:space="preserve"> </v>
      </c>
      <c r="B150" s="26" t="str">
        <f>IF('E-Gilts'!A150&lt;'Adj-Gilts'!$B$10,'E-Gilts'!A150," ")</f>
        <v xml:space="preserve"> </v>
      </c>
      <c r="C150" s="26" t="str">
        <f>IF('E-Gilts'!A150&lt;'Adj-Gilts'!$B$10,'E-Gilts'!C150," ")</f>
        <v xml:space="preserve"> </v>
      </c>
      <c r="D150" s="28" t="str">
        <f>IF('E-Gilts'!A150&lt;'Adj-Gilts'!$B$10,'E-Gilts'!G150," ")</f>
        <v xml:space="preserve"> </v>
      </c>
      <c r="E150" s="27" t="str">
        <f>IF('E-Gilts'!A150&lt;'Adj-Gilts'!$B$10,'E-Gilts'!D150," ")</f>
        <v xml:space="preserve"> </v>
      </c>
      <c r="F150" s="27"/>
      <c r="G150" s="92" t="str">
        <f t="shared" si="8"/>
        <v xml:space="preserve"> </v>
      </c>
      <c r="H150" s="28" t="str">
        <f>IF('E-Gilts'!A150&lt;'Adj-Gilts'!$B$10,'E-Gilts'!I150," ")</f>
        <v xml:space="preserve"> </v>
      </c>
      <c r="I150" s="126" t="str">
        <f>IF('E-Gilts'!A150&lt;'Adj-Gilts'!$B$10,'E-Gilts'!A150," ")</f>
        <v xml:space="preserve"> </v>
      </c>
      <c r="J150" s="26" t="str">
        <f>IF('E-Gilts'!A150&lt;'Adj-Gilts'!$B$10,'E-Gilts'!J150," ")</f>
        <v xml:space="preserve"> </v>
      </c>
      <c r="K150" s="28" t="str">
        <f>IF('E-Gilts'!A150&lt;'Adj-Gilts'!$B$10,'E-Gilts'!N150," ")</f>
        <v xml:space="preserve"> </v>
      </c>
      <c r="L150" s="122" t="str">
        <f>IF('E-Gilts'!A150&lt;'Adj-Gilts'!$B$10,'E-Gilts'!K150," ")</f>
        <v xml:space="preserve"> </v>
      </c>
      <c r="M150" t="str">
        <f>IF('E-Gilts'!A150&lt;'Adj-Gilts'!$B$10,'E-Gilts'!M150," ")</f>
        <v xml:space="preserve"> </v>
      </c>
      <c r="N150" s="30" t="str">
        <f>IF('E-Gilts'!A150&lt;'Adj-Gilts'!$B$10,1/L150," ")</f>
        <v xml:space="preserve"> </v>
      </c>
      <c r="P150" s="31" t="str">
        <f t="shared" si="9"/>
        <v/>
      </c>
      <c r="Q150" s="31" t="str">
        <f t="shared" si="10"/>
        <v/>
      </c>
      <c r="R150" s="31" t="str">
        <f t="shared" si="11"/>
        <v/>
      </c>
    </row>
    <row r="151" spans="1:18" x14ac:dyDescent="0.25">
      <c r="A151" s="28" t="str">
        <f>IF('E-Gilts'!A151&lt;'Adj-Gilts'!$B$10,'E-Gilts'!B151," ")</f>
        <v xml:space="preserve"> </v>
      </c>
      <c r="B151" s="26" t="str">
        <f>IF('E-Gilts'!A151&lt;'Adj-Gilts'!$B$10,'E-Gilts'!A151," ")</f>
        <v xml:space="preserve"> </v>
      </c>
      <c r="C151" s="26" t="str">
        <f>IF('E-Gilts'!A151&lt;'Adj-Gilts'!$B$10,'E-Gilts'!C151," ")</f>
        <v xml:space="preserve"> </v>
      </c>
      <c r="D151" s="28" t="str">
        <f>IF('E-Gilts'!A151&lt;'Adj-Gilts'!$B$10,'E-Gilts'!G151," ")</f>
        <v xml:space="preserve"> </v>
      </c>
      <c r="E151" s="27" t="str">
        <f>IF('E-Gilts'!A151&lt;'Adj-Gilts'!$B$10,'E-Gilts'!D151," ")</f>
        <v xml:space="preserve"> </v>
      </c>
      <c r="F151" s="27"/>
      <c r="G151" s="92" t="str">
        <f t="shared" si="8"/>
        <v xml:space="preserve"> </v>
      </c>
      <c r="H151" s="28" t="str">
        <f>IF('E-Gilts'!A151&lt;'Adj-Gilts'!$B$10,'E-Gilts'!I151," ")</f>
        <v xml:space="preserve"> </v>
      </c>
      <c r="I151" s="126" t="str">
        <f>IF('E-Gilts'!A151&lt;'Adj-Gilts'!$B$10,'E-Gilts'!A151," ")</f>
        <v xml:space="preserve"> </v>
      </c>
      <c r="J151" s="26" t="str">
        <f>IF('E-Gilts'!A151&lt;'Adj-Gilts'!$B$10,'E-Gilts'!J151," ")</f>
        <v xml:space="preserve"> </v>
      </c>
      <c r="K151" s="28" t="str">
        <f>IF('E-Gilts'!A151&lt;'Adj-Gilts'!$B$10,'E-Gilts'!N151," ")</f>
        <v xml:space="preserve"> </v>
      </c>
      <c r="L151" s="122" t="str">
        <f>IF('E-Gilts'!A151&lt;'Adj-Gilts'!$B$10,'E-Gilts'!K151," ")</f>
        <v xml:space="preserve"> </v>
      </c>
      <c r="M151" t="str">
        <f>IF('E-Gilts'!A151&lt;'Adj-Gilts'!$B$10,'E-Gilts'!M151," ")</f>
        <v xml:space="preserve"> </v>
      </c>
      <c r="N151" s="30" t="str">
        <f>IF('E-Gilts'!A151&lt;'Adj-Gilts'!$B$10,1/L151," ")</f>
        <v xml:space="preserve"> </v>
      </c>
      <c r="P151" s="31" t="str">
        <f t="shared" si="9"/>
        <v/>
      </c>
      <c r="Q151" s="31" t="str">
        <f t="shared" si="10"/>
        <v/>
      </c>
      <c r="R151" s="31" t="str">
        <f t="shared" si="11"/>
        <v/>
      </c>
    </row>
    <row r="152" spans="1:18" x14ac:dyDescent="0.25">
      <c r="A152" s="28" t="str">
        <f>IF('E-Gilts'!A152&lt;'Adj-Gilts'!$B$10,'E-Gilts'!B152," ")</f>
        <v xml:space="preserve"> </v>
      </c>
      <c r="B152" s="26" t="str">
        <f>IF('E-Gilts'!A152&lt;'Adj-Gilts'!$B$10,'E-Gilts'!A152," ")</f>
        <v xml:space="preserve"> </v>
      </c>
      <c r="C152" s="26" t="str">
        <f>IF('E-Gilts'!A152&lt;'Adj-Gilts'!$B$10,'E-Gilts'!C152," ")</f>
        <v xml:space="preserve"> </v>
      </c>
      <c r="D152" s="28" t="str">
        <f>IF('E-Gilts'!A152&lt;'Adj-Gilts'!$B$10,'E-Gilts'!G152," ")</f>
        <v xml:space="preserve"> </v>
      </c>
      <c r="E152" s="27" t="str">
        <f>IF('E-Gilts'!A152&lt;'Adj-Gilts'!$B$10,'E-Gilts'!D152," ")</f>
        <v xml:space="preserve"> </v>
      </c>
      <c r="F152" s="27"/>
      <c r="G152" s="92" t="str">
        <f t="shared" si="8"/>
        <v xml:space="preserve"> </v>
      </c>
      <c r="H152" s="28" t="str">
        <f>IF('E-Gilts'!A152&lt;'Adj-Gilts'!$B$10,'E-Gilts'!I152," ")</f>
        <v xml:space="preserve"> </v>
      </c>
      <c r="I152" s="126" t="str">
        <f>IF('E-Gilts'!A152&lt;'Adj-Gilts'!$B$10,'E-Gilts'!A152," ")</f>
        <v xml:space="preserve"> </v>
      </c>
      <c r="J152" s="26" t="str">
        <f>IF('E-Gilts'!A152&lt;'Adj-Gilts'!$B$10,'E-Gilts'!J152," ")</f>
        <v xml:space="preserve"> </v>
      </c>
      <c r="K152" s="28" t="str">
        <f>IF('E-Gilts'!A152&lt;'Adj-Gilts'!$B$10,'E-Gilts'!N152," ")</f>
        <v xml:space="preserve"> </v>
      </c>
      <c r="L152" s="122" t="str">
        <f>IF('E-Gilts'!A152&lt;'Adj-Gilts'!$B$10,'E-Gilts'!K152," ")</f>
        <v xml:space="preserve"> </v>
      </c>
      <c r="M152" t="str">
        <f>IF('E-Gilts'!A152&lt;'Adj-Gilts'!$B$10,'E-Gilts'!M152," ")</f>
        <v xml:space="preserve"> </v>
      </c>
      <c r="N152" s="30" t="str">
        <f>IF('E-Gilts'!A152&lt;'Adj-Gilts'!$B$10,1/L152," ")</f>
        <v xml:space="preserve"> </v>
      </c>
      <c r="P152" s="31" t="str">
        <f t="shared" si="9"/>
        <v/>
      </c>
      <c r="Q152" s="31" t="str">
        <f t="shared" si="10"/>
        <v/>
      </c>
      <c r="R152" s="31" t="str">
        <f t="shared" si="11"/>
        <v/>
      </c>
    </row>
    <row r="153" spans="1:18" x14ac:dyDescent="0.25">
      <c r="A153" s="28" t="str">
        <f>IF('E-Gilts'!A153&lt;'Adj-Gilts'!$B$10,'E-Gilts'!B153," ")</f>
        <v xml:space="preserve"> </v>
      </c>
      <c r="B153" s="26" t="str">
        <f>IF('E-Gilts'!A153&lt;'Adj-Gilts'!$B$10,'E-Gilts'!A153," ")</f>
        <v xml:space="preserve"> </v>
      </c>
      <c r="C153" s="26" t="str">
        <f>IF('E-Gilts'!A153&lt;'Adj-Gilts'!$B$10,'E-Gilts'!C153," ")</f>
        <v xml:space="preserve"> </v>
      </c>
      <c r="D153" s="28" t="str">
        <f>IF('E-Gilts'!A153&lt;'Adj-Gilts'!$B$10,'E-Gilts'!G153," ")</f>
        <v xml:space="preserve"> </v>
      </c>
      <c r="E153" s="27" t="str">
        <f>IF('E-Gilts'!A153&lt;'Adj-Gilts'!$B$10,'E-Gilts'!D153," ")</f>
        <v xml:space="preserve"> </v>
      </c>
      <c r="F153" s="27"/>
      <c r="G153" s="92" t="str">
        <f t="shared" si="8"/>
        <v xml:space="preserve"> </v>
      </c>
      <c r="H153" s="28" t="str">
        <f>IF('E-Gilts'!A153&lt;'Adj-Gilts'!$B$10,'E-Gilts'!I153," ")</f>
        <v xml:space="preserve"> </v>
      </c>
      <c r="I153" s="126" t="str">
        <f>IF('E-Gilts'!A153&lt;'Adj-Gilts'!$B$10,'E-Gilts'!A153," ")</f>
        <v xml:space="preserve"> </v>
      </c>
      <c r="J153" s="26" t="str">
        <f>IF('E-Gilts'!A153&lt;'Adj-Gilts'!$B$10,'E-Gilts'!J153," ")</f>
        <v xml:space="preserve"> </v>
      </c>
      <c r="K153" s="28" t="str">
        <f>IF('E-Gilts'!A153&lt;'Adj-Gilts'!$B$10,'E-Gilts'!N153," ")</f>
        <v xml:space="preserve"> </v>
      </c>
      <c r="L153" s="122" t="str">
        <f>IF('E-Gilts'!A153&lt;'Adj-Gilts'!$B$10,'E-Gilts'!K153," ")</f>
        <v xml:space="preserve"> </v>
      </c>
      <c r="M153" t="str">
        <f>IF('E-Gilts'!A153&lt;'Adj-Gilts'!$B$10,'E-Gilts'!M153," ")</f>
        <v xml:space="preserve"> </v>
      </c>
      <c r="N153" s="30" t="str">
        <f>IF('E-Gilts'!A153&lt;'Adj-Gilts'!$B$10,1/L153," ")</f>
        <v xml:space="preserve"> </v>
      </c>
      <c r="P153" s="31" t="str">
        <f t="shared" si="9"/>
        <v/>
      </c>
      <c r="Q153" s="31" t="str">
        <f t="shared" si="10"/>
        <v/>
      </c>
      <c r="R153" s="31" t="str">
        <f t="shared" si="11"/>
        <v/>
      </c>
    </row>
    <row r="154" spans="1:18" x14ac:dyDescent="0.25">
      <c r="A154" s="28" t="str">
        <f>IF('E-Gilts'!A154&lt;'Adj-Gilts'!$B$10,'E-Gilts'!B154," ")</f>
        <v xml:space="preserve"> </v>
      </c>
      <c r="B154" s="26" t="str">
        <f>IF('E-Gilts'!A154&lt;'Adj-Gilts'!$B$10,'E-Gilts'!A154," ")</f>
        <v xml:space="preserve"> </v>
      </c>
      <c r="C154" s="26" t="str">
        <f>IF('E-Gilts'!A154&lt;'Adj-Gilts'!$B$10,'E-Gilts'!C154," ")</f>
        <v xml:space="preserve"> </v>
      </c>
      <c r="D154" s="28" t="str">
        <f>IF('E-Gilts'!A154&lt;'Adj-Gilts'!$B$10,'E-Gilts'!G154," ")</f>
        <v xml:space="preserve"> </v>
      </c>
      <c r="E154" s="27" t="str">
        <f>IF('E-Gilts'!A154&lt;'Adj-Gilts'!$B$10,'E-Gilts'!D154," ")</f>
        <v xml:space="preserve"> </v>
      </c>
      <c r="F154" s="27"/>
      <c r="G154" s="92" t="str">
        <f t="shared" si="8"/>
        <v xml:space="preserve"> </v>
      </c>
      <c r="H154" s="28" t="str">
        <f>IF('E-Gilts'!A154&lt;'Adj-Gilts'!$B$10,'E-Gilts'!I154," ")</f>
        <v xml:space="preserve"> </v>
      </c>
      <c r="I154" s="126" t="str">
        <f>IF('E-Gilts'!A154&lt;'Adj-Gilts'!$B$10,'E-Gilts'!A154," ")</f>
        <v xml:space="preserve"> </v>
      </c>
      <c r="J154" s="26" t="str">
        <f>IF('E-Gilts'!A154&lt;'Adj-Gilts'!$B$10,'E-Gilts'!J154," ")</f>
        <v xml:space="preserve"> </v>
      </c>
      <c r="K154" s="28" t="str">
        <f>IF('E-Gilts'!A154&lt;'Adj-Gilts'!$B$10,'E-Gilts'!N154," ")</f>
        <v xml:space="preserve"> </v>
      </c>
      <c r="L154" s="122" t="str">
        <f>IF('E-Gilts'!A154&lt;'Adj-Gilts'!$B$10,'E-Gilts'!K154," ")</f>
        <v xml:space="preserve"> </v>
      </c>
      <c r="M154" t="str">
        <f>IF('E-Gilts'!A154&lt;'Adj-Gilts'!$B$10,'E-Gilts'!M154," ")</f>
        <v xml:space="preserve"> </v>
      </c>
      <c r="N154" s="30" t="str">
        <f>IF('E-Gilts'!A154&lt;'Adj-Gilts'!$B$10,1/L154," ")</f>
        <v xml:space="preserve"> </v>
      </c>
      <c r="P154" s="31" t="str">
        <f t="shared" si="9"/>
        <v/>
      </c>
      <c r="Q154" s="31" t="str">
        <f t="shared" si="10"/>
        <v/>
      </c>
      <c r="R154" s="31" t="str">
        <f t="shared" si="11"/>
        <v/>
      </c>
    </row>
    <row r="155" spans="1:18" x14ac:dyDescent="0.25">
      <c r="A155" s="28" t="str">
        <f>IF('E-Gilts'!A155&lt;'Adj-Gilts'!$B$10,'E-Gilts'!B155," ")</f>
        <v xml:space="preserve"> </v>
      </c>
      <c r="B155" s="26" t="str">
        <f>IF('E-Gilts'!A155&lt;'Adj-Gilts'!$B$10,'E-Gilts'!A155," ")</f>
        <v xml:space="preserve"> </v>
      </c>
      <c r="C155" s="26" t="str">
        <f>IF('E-Gilts'!A155&lt;'Adj-Gilts'!$B$10,'E-Gilts'!C155," ")</f>
        <v xml:space="preserve"> </v>
      </c>
      <c r="D155" s="28" t="str">
        <f>IF('E-Gilts'!A155&lt;'Adj-Gilts'!$B$10,'E-Gilts'!G155," ")</f>
        <v xml:space="preserve"> </v>
      </c>
      <c r="E155" s="27" t="str">
        <f>IF('E-Gilts'!A155&lt;'Adj-Gilts'!$B$10,'E-Gilts'!D155," ")</f>
        <v xml:space="preserve"> </v>
      </c>
      <c r="F155" s="27"/>
      <c r="G155" s="92" t="str">
        <f t="shared" si="8"/>
        <v xml:space="preserve"> </v>
      </c>
      <c r="H155" s="28" t="str">
        <f>IF('E-Gilts'!A155&lt;'Adj-Gilts'!$B$10,'E-Gilts'!I155," ")</f>
        <v xml:space="preserve"> </v>
      </c>
      <c r="I155" s="126" t="str">
        <f>IF('E-Gilts'!A155&lt;'Adj-Gilts'!$B$10,'E-Gilts'!A155," ")</f>
        <v xml:space="preserve"> </v>
      </c>
      <c r="J155" s="26" t="str">
        <f>IF('E-Gilts'!A155&lt;'Adj-Gilts'!$B$10,'E-Gilts'!J155," ")</f>
        <v xml:space="preserve"> </v>
      </c>
      <c r="K155" s="28" t="str">
        <f>IF('E-Gilts'!A155&lt;'Adj-Gilts'!$B$10,'E-Gilts'!N155," ")</f>
        <v xml:space="preserve"> </v>
      </c>
      <c r="L155" s="122" t="str">
        <f>IF('E-Gilts'!A155&lt;'Adj-Gilts'!$B$10,'E-Gilts'!K155," ")</f>
        <v xml:space="preserve"> </v>
      </c>
      <c r="M155" t="str">
        <f>IF('E-Gilts'!A155&lt;'Adj-Gilts'!$B$10,'E-Gilts'!M155," ")</f>
        <v xml:space="preserve"> </v>
      </c>
      <c r="N155" s="30" t="str">
        <f>IF('E-Gilts'!A155&lt;'Adj-Gilts'!$B$10,1/L155," ")</f>
        <v xml:space="preserve"> </v>
      </c>
      <c r="P155" s="31" t="str">
        <f t="shared" si="9"/>
        <v/>
      </c>
      <c r="Q155" s="31" t="str">
        <f t="shared" si="10"/>
        <v/>
      </c>
      <c r="R155" s="31" t="str">
        <f t="shared" si="11"/>
        <v/>
      </c>
    </row>
    <row r="156" spans="1:18" x14ac:dyDescent="0.25">
      <c r="A156" s="28" t="str">
        <f>IF('E-Gilts'!A156&lt;'Adj-Gilts'!$B$10,'E-Gilts'!B156," ")</f>
        <v xml:space="preserve"> </v>
      </c>
      <c r="B156" s="26" t="str">
        <f>IF('E-Gilts'!A156&lt;'Adj-Gilts'!$B$10,'E-Gilts'!A156," ")</f>
        <v xml:space="preserve"> </v>
      </c>
      <c r="C156" s="26" t="str">
        <f>IF('E-Gilts'!A156&lt;'Adj-Gilts'!$B$10,'E-Gilts'!C156," ")</f>
        <v xml:space="preserve"> </v>
      </c>
      <c r="D156" s="28" t="str">
        <f>IF('E-Gilts'!A156&lt;'Adj-Gilts'!$B$10,'E-Gilts'!G156," ")</f>
        <v xml:space="preserve"> </v>
      </c>
      <c r="E156" s="27" t="str">
        <f>IF('E-Gilts'!A156&lt;'Adj-Gilts'!$B$10,'E-Gilts'!D156," ")</f>
        <v xml:space="preserve"> </v>
      </c>
      <c r="F156" s="27"/>
      <c r="G156" s="92" t="str">
        <f t="shared" si="8"/>
        <v xml:space="preserve"> </v>
      </c>
      <c r="H156" s="28" t="str">
        <f>IF('E-Gilts'!A156&lt;'Adj-Gilts'!$B$10,'E-Gilts'!I156," ")</f>
        <v xml:space="preserve"> </v>
      </c>
      <c r="I156" s="126" t="str">
        <f>IF('E-Gilts'!A156&lt;'Adj-Gilts'!$B$10,'E-Gilts'!A156," ")</f>
        <v xml:space="preserve"> </v>
      </c>
      <c r="J156" s="26" t="str">
        <f>IF('E-Gilts'!A156&lt;'Adj-Gilts'!$B$10,'E-Gilts'!J156," ")</f>
        <v xml:space="preserve"> </v>
      </c>
      <c r="K156" s="28" t="str">
        <f>IF('E-Gilts'!A156&lt;'Adj-Gilts'!$B$10,'E-Gilts'!N156," ")</f>
        <v xml:space="preserve"> </v>
      </c>
      <c r="L156" s="122" t="str">
        <f>IF('E-Gilts'!A156&lt;'Adj-Gilts'!$B$10,'E-Gilts'!K156," ")</f>
        <v xml:space="preserve"> </v>
      </c>
      <c r="M156" t="str">
        <f>IF('E-Gilts'!A156&lt;'Adj-Gilts'!$B$10,'E-Gilts'!M156," ")</f>
        <v xml:space="preserve"> </v>
      </c>
      <c r="N156" s="30" t="str">
        <f>IF('E-Gilts'!A156&lt;'Adj-Gilts'!$B$10,1/L156," ")</f>
        <v xml:space="preserve"> </v>
      </c>
      <c r="P156" s="31" t="str">
        <f t="shared" si="9"/>
        <v/>
      </c>
      <c r="Q156" s="31" t="str">
        <f t="shared" si="10"/>
        <v/>
      </c>
      <c r="R156" s="31" t="str">
        <f t="shared" si="11"/>
        <v/>
      </c>
    </row>
    <row r="157" spans="1:18" x14ac:dyDescent="0.25">
      <c r="A157" s="28" t="str">
        <f>IF('E-Gilts'!A157&lt;'Adj-Gilts'!$B$10,'E-Gilts'!B157," ")</f>
        <v xml:space="preserve"> </v>
      </c>
      <c r="B157" s="26" t="str">
        <f>IF('E-Gilts'!A157&lt;'Adj-Gilts'!$B$10,'E-Gilts'!A157," ")</f>
        <v xml:space="preserve"> </v>
      </c>
      <c r="C157" s="26" t="str">
        <f>IF('E-Gilts'!A157&lt;'Adj-Gilts'!$B$10,'E-Gilts'!C157," ")</f>
        <v xml:space="preserve"> </v>
      </c>
      <c r="D157" s="28" t="str">
        <f>IF('E-Gilts'!A157&lt;'Adj-Gilts'!$B$10,'E-Gilts'!G157," ")</f>
        <v xml:space="preserve"> </v>
      </c>
      <c r="E157" s="27" t="str">
        <f>IF('E-Gilts'!A157&lt;'Adj-Gilts'!$B$10,'E-Gilts'!D157," ")</f>
        <v xml:space="preserve"> </v>
      </c>
      <c r="F157" s="27"/>
      <c r="G157" s="92" t="str">
        <f t="shared" si="8"/>
        <v xml:space="preserve"> </v>
      </c>
      <c r="H157" s="28" t="str">
        <f>IF('E-Gilts'!A157&lt;'Adj-Gilts'!$B$10,'E-Gilts'!I157," ")</f>
        <v xml:space="preserve"> </v>
      </c>
      <c r="I157" s="126" t="str">
        <f>IF('E-Gilts'!A157&lt;'Adj-Gilts'!$B$10,'E-Gilts'!A157," ")</f>
        <v xml:space="preserve"> </v>
      </c>
      <c r="J157" s="26" t="str">
        <f>IF('E-Gilts'!A157&lt;'Adj-Gilts'!$B$10,'E-Gilts'!J157," ")</f>
        <v xml:space="preserve"> </v>
      </c>
      <c r="K157" s="28" t="str">
        <f>IF('E-Gilts'!A157&lt;'Adj-Gilts'!$B$10,'E-Gilts'!N157," ")</f>
        <v xml:space="preserve"> </v>
      </c>
      <c r="L157" s="122" t="str">
        <f>IF('E-Gilts'!A157&lt;'Adj-Gilts'!$B$10,'E-Gilts'!K157," ")</f>
        <v xml:space="preserve"> </v>
      </c>
      <c r="M157" t="str">
        <f>IF('E-Gilts'!A157&lt;'Adj-Gilts'!$B$10,'E-Gilts'!M157," ")</f>
        <v xml:space="preserve"> </v>
      </c>
      <c r="N157" s="30" t="str">
        <f>IF('E-Gilts'!A157&lt;'Adj-Gilts'!$B$10,1/L157," ")</f>
        <v xml:space="preserve"> </v>
      </c>
      <c r="P157" s="31" t="str">
        <f t="shared" si="9"/>
        <v/>
      </c>
      <c r="Q157" s="31" t="str">
        <f t="shared" si="10"/>
        <v/>
      </c>
      <c r="R157" s="31" t="str">
        <f t="shared" si="11"/>
        <v/>
      </c>
    </row>
    <row r="158" spans="1:18" x14ac:dyDescent="0.25">
      <c r="A158" s="28" t="str">
        <f>IF('E-Gilts'!A158&lt;'Adj-Gilts'!$B$10,'E-Gilts'!B158," ")</f>
        <v xml:space="preserve"> </v>
      </c>
      <c r="B158" s="26" t="str">
        <f>IF('E-Gilts'!A158&lt;'Adj-Gilts'!$B$10,'E-Gilts'!A158," ")</f>
        <v xml:space="preserve"> </v>
      </c>
      <c r="C158" s="26" t="str">
        <f>IF('E-Gilts'!A158&lt;'Adj-Gilts'!$B$10,'E-Gilts'!C158," ")</f>
        <v xml:space="preserve"> </v>
      </c>
      <c r="D158" s="28" t="str">
        <f>IF('E-Gilts'!A158&lt;'Adj-Gilts'!$B$10,'E-Gilts'!G158," ")</f>
        <v xml:space="preserve"> </v>
      </c>
      <c r="E158" s="27" t="str">
        <f>IF('E-Gilts'!A158&lt;'Adj-Gilts'!$B$10,'E-Gilts'!D158," ")</f>
        <v xml:space="preserve"> </v>
      </c>
      <c r="F158" s="27"/>
      <c r="G158" s="92" t="str">
        <f t="shared" si="8"/>
        <v xml:space="preserve"> </v>
      </c>
      <c r="H158" s="28" t="str">
        <f>IF('E-Gilts'!A158&lt;'Adj-Gilts'!$B$10,'E-Gilts'!I158," ")</f>
        <v xml:space="preserve"> </v>
      </c>
      <c r="I158" s="126" t="str">
        <f>IF('E-Gilts'!A158&lt;'Adj-Gilts'!$B$10,'E-Gilts'!A158," ")</f>
        <v xml:space="preserve"> </v>
      </c>
      <c r="J158" s="26" t="str">
        <f>IF('E-Gilts'!A158&lt;'Adj-Gilts'!$B$10,'E-Gilts'!J158," ")</f>
        <v xml:space="preserve"> </v>
      </c>
      <c r="K158" s="28" t="str">
        <f>IF('E-Gilts'!A158&lt;'Adj-Gilts'!$B$10,'E-Gilts'!N158," ")</f>
        <v xml:space="preserve"> </v>
      </c>
      <c r="L158" s="122" t="str">
        <f>IF('E-Gilts'!A158&lt;'Adj-Gilts'!$B$10,'E-Gilts'!K158," ")</f>
        <v xml:space="preserve"> </v>
      </c>
      <c r="M158" t="str">
        <f>IF('E-Gilts'!A158&lt;'Adj-Gilts'!$B$10,'E-Gilts'!M158," ")</f>
        <v xml:space="preserve"> </v>
      </c>
      <c r="N158" s="30" t="str">
        <f>IF('E-Gilts'!A158&lt;'Adj-Gilts'!$B$10,1/L158," ")</f>
        <v xml:space="preserve"> </v>
      </c>
      <c r="P158" s="31" t="str">
        <f t="shared" si="9"/>
        <v/>
      </c>
      <c r="Q158" s="31" t="str">
        <f t="shared" si="10"/>
        <v/>
      </c>
      <c r="R158" s="31" t="str">
        <f t="shared" si="11"/>
        <v/>
      </c>
    </row>
    <row r="159" spans="1:18" x14ac:dyDescent="0.25">
      <c r="A159" s="28" t="str">
        <f>IF('E-Gilts'!A159&lt;'Adj-Gilts'!$B$10,'E-Gilts'!B159," ")</f>
        <v xml:space="preserve"> </v>
      </c>
      <c r="B159" s="26" t="str">
        <f>IF('E-Gilts'!A159&lt;'Adj-Gilts'!$B$10,'E-Gilts'!A159," ")</f>
        <v xml:space="preserve"> </v>
      </c>
      <c r="C159" s="26" t="str">
        <f>IF('E-Gilts'!A159&lt;'Adj-Gilts'!$B$10,'E-Gilts'!C159," ")</f>
        <v xml:space="preserve"> </v>
      </c>
      <c r="D159" s="28" t="str">
        <f>IF('E-Gilts'!A159&lt;'Adj-Gilts'!$B$10,'E-Gilts'!G159," ")</f>
        <v xml:space="preserve"> </v>
      </c>
      <c r="E159" s="27" t="str">
        <f>IF('E-Gilts'!A159&lt;'Adj-Gilts'!$B$10,'E-Gilts'!D159," ")</f>
        <v xml:space="preserve"> </v>
      </c>
      <c r="F159" s="27"/>
      <c r="G159" s="92" t="str">
        <f t="shared" si="8"/>
        <v xml:space="preserve"> </v>
      </c>
      <c r="H159" s="28" t="str">
        <f>IF('E-Gilts'!A159&lt;'Adj-Gilts'!$B$10,'E-Gilts'!I159," ")</f>
        <v xml:space="preserve"> </v>
      </c>
      <c r="I159" s="126" t="str">
        <f>IF('E-Gilts'!A159&lt;'Adj-Gilts'!$B$10,'E-Gilts'!A159," ")</f>
        <v xml:space="preserve"> </v>
      </c>
      <c r="J159" s="26" t="str">
        <f>IF('E-Gilts'!A159&lt;'Adj-Gilts'!$B$10,'E-Gilts'!J159," ")</f>
        <v xml:space="preserve"> </v>
      </c>
      <c r="K159" s="28" t="str">
        <f>IF('E-Gilts'!A159&lt;'Adj-Gilts'!$B$10,'E-Gilts'!N159," ")</f>
        <v xml:space="preserve"> </v>
      </c>
      <c r="L159" s="122" t="str">
        <f>IF('E-Gilts'!A159&lt;'Adj-Gilts'!$B$10,'E-Gilts'!K159," ")</f>
        <v xml:space="preserve"> </v>
      </c>
      <c r="M159" t="str">
        <f>IF('E-Gilts'!A159&lt;'Adj-Gilts'!$B$10,'E-Gilts'!M159," ")</f>
        <v xml:space="preserve"> </v>
      </c>
      <c r="N159" s="30" t="str">
        <f>IF('E-Gilts'!A159&lt;'Adj-Gilts'!$B$10,1/L159," ")</f>
        <v xml:space="preserve"> </v>
      </c>
      <c r="P159" s="31" t="str">
        <f t="shared" si="9"/>
        <v/>
      </c>
      <c r="Q159" s="31" t="str">
        <f t="shared" si="10"/>
        <v/>
      </c>
      <c r="R159" s="31" t="str">
        <f t="shared" si="11"/>
        <v/>
      </c>
    </row>
    <row r="160" spans="1:18" x14ac:dyDescent="0.25">
      <c r="A160" s="28" t="str">
        <f>IF('E-Gilts'!A160&lt;'Adj-Gilts'!$B$10,'E-Gilts'!B160," ")</f>
        <v xml:space="preserve"> </v>
      </c>
      <c r="B160" s="26" t="str">
        <f>IF('E-Gilts'!A160&lt;'Adj-Gilts'!$B$10,'E-Gilts'!A160," ")</f>
        <v xml:space="preserve"> </v>
      </c>
      <c r="C160" s="26" t="str">
        <f>IF('E-Gilts'!A160&lt;'Adj-Gilts'!$B$10,'E-Gilts'!C160," ")</f>
        <v xml:space="preserve"> </v>
      </c>
      <c r="D160" s="28" t="str">
        <f>IF('E-Gilts'!A160&lt;'Adj-Gilts'!$B$10,'E-Gilts'!G160," ")</f>
        <v xml:space="preserve"> </v>
      </c>
      <c r="E160" s="27" t="str">
        <f>IF('E-Gilts'!A160&lt;'Adj-Gilts'!$B$10,'E-Gilts'!D160," ")</f>
        <v xml:space="preserve"> </v>
      </c>
      <c r="F160" s="27"/>
      <c r="G160" s="92" t="str">
        <f t="shared" si="8"/>
        <v xml:space="preserve"> </v>
      </c>
      <c r="H160" s="28" t="str">
        <f>IF('E-Gilts'!A160&lt;'Adj-Gilts'!$B$10,'E-Gilts'!I160," ")</f>
        <v xml:space="preserve"> </v>
      </c>
      <c r="I160" s="126" t="str">
        <f>IF('E-Gilts'!A160&lt;'Adj-Gilts'!$B$10,'E-Gilts'!A160," ")</f>
        <v xml:space="preserve"> </v>
      </c>
      <c r="J160" s="26" t="str">
        <f>IF('E-Gilts'!A160&lt;'Adj-Gilts'!$B$10,'E-Gilts'!J160," ")</f>
        <v xml:space="preserve"> </v>
      </c>
      <c r="K160" s="28" t="str">
        <f>IF('E-Gilts'!A160&lt;'Adj-Gilts'!$B$10,'E-Gilts'!N160," ")</f>
        <v xml:space="preserve"> </v>
      </c>
      <c r="L160" s="122" t="str">
        <f>IF('E-Gilts'!A160&lt;'Adj-Gilts'!$B$10,'E-Gilts'!K160," ")</f>
        <v xml:space="preserve"> </v>
      </c>
      <c r="M160" t="str">
        <f>IF('E-Gilts'!A160&lt;'Adj-Gilts'!$B$10,'E-Gilts'!M160," ")</f>
        <v xml:space="preserve"> </v>
      </c>
      <c r="N160" s="30" t="str">
        <f>IF('E-Gilts'!A160&lt;'Adj-Gilts'!$B$10,1/L160," ")</f>
        <v xml:space="preserve"> </v>
      </c>
      <c r="P160" s="31" t="str">
        <f t="shared" si="9"/>
        <v/>
      </c>
      <c r="Q160" s="31" t="str">
        <f t="shared" si="10"/>
        <v/>
      </c>
      <c r="R160" s="31" t="str">
        <f t="shared" si="11"/>
        <v/>
      </c>
    </row>
    <row r="161" spans="1:18" x14ac:dyDescent="0.25">
      <c r="A161" s="28" t="str">
        <f>IF('E-Gilts'!A161&lt;'Adj-Gilts'!$B$10,'E-Gilts'!B161," ")</f>
        <v xml:space="preserve"> </v>
      </c>
      <c r="B161" s="26" t="str">
        <f>IF('E-Gilts'!A161&lt;'Adj-Gilts'!$B$10,'E-Gilts'!A161," ")</f>
        <v xml:space="preserve"> </v>
      </c>
      <c r="C161" s="26" t="str">
        <f>IF('E-Gilts'!A161&lt;'Adj-Gilts'!$B$10,'E-Gilts'!C161," ")</f>
        <v xml:space="preserve"> </v>
      </c>
      <c r="D161" s="28" t="str">
        <f>IF('E-Gilts'!A161&lt;'Adj-Gilts'!$B$10,'E-Gilts'!G161," ")</f>
        <v xml:space="preserve"> </v>
      </c>
      <c r="E161" s="27" t="str">
        <f>IF('E-Gilts'!A161&lt;'Adj-Gilts'!$B$10,'E-Gilts'!D161," ")</f>
        <v xml:space="preserve"> </v>
      </c>
      <c r="F161" s="27"/>
      <c r="G161" s="92" t="str">
        <f t="shared" si="8"/>
        <v xml:space="preserve"> </v>
      </c>
      <c r="H161" s="28" t="str">
        <f>IF('E-Gilts'!A161&lt;'Adj-Gilts'!$B$10,'E-Gilts'!I161," ")</f>
        <v xml:space="preserve"> </v>
      </c>
      <c r="I161" s="126" t="str">
        <f>IF('E-Gilts'!A161&lt;'Adj-Gilts'!$B$10,'E-Gilts'!A161," ")</f>
        <v xml:space="preserve"> </v>
      </c>
      <c r="J161" s="26" t="str">
        <f>IF('E-Gilts'!A161&lt;'Adj-Gilts'!$B$10,'E-Gilts'!J161," ")</f>
        <v xml:space="preserve"> </v>
      </c>
      <c r="K161" s="28" t="str">
        <f>IF('E-Gilts'!A161&lt;'Adj-Gilts'!$B$10,'E-Gilts'!N161," ")</f>
        <v xml:space="preserve"> </v>
      </c>
      <c r="L161" s="122" t="str">
        <f>IF('E-Gilts'!A161&lt;'Adj-Gilts'!$B$10,'E-Gilts'!K161," ")</f>
        <v xml:space="preserve"> </v>
      </c>
      <c r="M161" t="str">
        <f>IF('E-Gilts'!A161&lt;'Adj-Gilts'!$B$10,'E-Gilts'!M161," ")</f>
        <v xml:space="preserve"> </v>
      </c>
      <c r="N161" s="30" t="str">
        <f>IF('E-Gilts'!A161&lt;'Adj-Gilts'!$B$10,1/L161," ")</f>
        <v xml:space="preserve"> </v>
      </c>
      <c r="P161" s="31" t="str">
        <f t="shared" si="9"/>
        <v/>
      </c>
      <c r="Q161" s="31" t="str">
        <f t="shared" si="10"/>
        <v/>
      </c>
      <c r="R161" s="31" t="str">
        <f t="shared" si="11"/>
        <v/>
      </c>
    </row>
    <row r="162" spans="1:18" x14ac:dyDescent="0.25">
      <c r="A162" s="28" t="str">
        <f>IF('E-Gilts'!A162&lt;'Adj-Gilts'!$B$10,'E-Gilts'!B162," ")</f>
        <v xml:space="preserve"> </v>
      </c>
      <c r="B162" s="26" t="str">
        <f>IF('E-Gilts'!A162&lt;'Adj-Gilts'!$B$10,'E-Gilts'!A162," ")</f>
        <v xml:space="preserve"> </v>
      </c>
      <c r="C162" s="26" t="str">
        <f>IF('E-Gilts'!A162&lt;'Adj-Gilts'!$B$10,'E-Gilts'!C162," ")</f>
        <v xml:space="preserve"> </v>
      </c>
      <c r="D162" s="28" t="str">
        <f>IF('E-Gilts'!A162&lt;'Adj-Gilts'!$B$10,'E-Gilts'!G162," ")</f>
        <v xml:space="preserve"> </v>
      </c>
      <c r="E162" s="27" t="str">
        <f>IF('E-Gilts'!A162&lt;'Adj-Gilts'!$B$10,'E-Gilts'!D162," ")</f>
        <v xml:space="preserve"> </v>
      </c>
      <c r="F162" s="27"/>
      <c r="G162" s="92" t="str">
        <f t="shared" si="8"/>
        <v xml:space="preserve"> </v>
      </c>
      <c r="H162" s="28" t="str">
        <f>IF('E-Gilts'!A162&lt;'Adj-Gilts'!$B$10,'E-Gilts'!I162," ")</f>
        <v xml:space="preserve"> </v>
      </c>
      <c r="I162" s="126" t="str">
        <f>IF('E-Gilts'!A162&lt;'Adj-Gilts'!$B$10,'E-Gilts'!A162," ")</f>
        <v xml:space="preserve"> </v>
      </c>
      <c r="J162" s="26" t="str">
        <f>IF('E-Gilts'!A162&lt;'Adj-Gilts'!$B$10,'E-Gilts'!J162," ")</f>
        <v xml:space="preserve"> </v>
      </c>
      <c r="K162" s="28" t="str">
        <f>IF('E-Gilts'!A162&lt;'Adj-Gilts'!$B$10,'E-Gilts'!N162," ")</f>
        <v xml:space="preserve"> </v>
      </c>
      <c r="L162" s="122" t="str">
        <f>IF('E-Gilts'!A162&lt;'Adj-Gilts'!$B$10,'E-Gilts'!K162," ")</f>
        <v xml:space="preserve"> </v>
      </c>
      <c r="M162" t="str">
        <f>IF('E-Gilts'!A162&lt;'Adj-Gilts'!$B$10,'E-Gilts'!M162," ")</f>
        <v xml:space="preserve"> </v>
      </c>
      <c r="N162" s="30" t="str">
        <f>IF('E-Gilts'!A162&lt;'Adj-Gilts'!$B$10,1/L162," ")</f>
        <v xml:space="preserve"> </v>
      </c>
      <c r="P162" s="31" t="str">
        <f t="shared" si="9"/>
        <v/>
      </c>
      <c r="Q162" s="31" t="str">
        <f t="shared" si="10"/>
        <v/>
      </c>
      <c r="R162" s="31" t="str">
        <f t="shared" si="11"/>
        <v/>
      </c>
    </row>
    <row r="163" spans="1:18" x14ac:dyDescent="0.25">
      <c r="A163" s="28" t="str">
        <f>IF('E-Gilts'!A163&lt;'Adj-Gilts'!$B$10,'E-Gilts'!B163," ")</f>
        <v xml:space="preserve"> </v>
      </c>
      <c r="B163" s="26" t="str">
        <f>IF('E-Gilts'!A163&lt;'Adj-Gilts'!$B$10,'E-Gilts'!A163," ")</f>
        <v xml:space="preserve"> </v>
      </c>
      <c r="C163" s="26" t="str">
        <f>IF('E-Gilts'!A163&lt;'Adj-Gilts'!$B$10,'E-Gilts'!C163," ")</f>
        <v xml:space="preserve"> </v>
      </c>
      <c r="D163" s="28" t="str">
        <f>IF('E-Gilts'!A163&lt;'Adj-Gilts'!$B$10,'E-Gilts'!G163," ")</f>
        <v xml:space="preserve"> </v>
      </c>
      <c r="E163" s="27" t="str">
        <f>IF('E-Gilts'!A163&lt;'Adj-Gilts'!$B$10,'E-Gilts'!D163," ")</f>
        <v xml:space="preserve"> </v>
      </c>
      <c r="F163" s="27"/>
      <c r="G163" s="92" t="str">
        <f t="shared" si="8"/>
        <v xml:space="preserve"> </v>
      </c>
      <c r="H163" s="28" t="str">
        <f>IF('E-Gilts'!A163&lt;'Adj-Gilts'!$B$10,'E-Gilts'!I163," ")</f>
        <v xml:space="preserve"> </v>
      </c>
      <c r="I163" s="126" t="str">
        <f>IF('E-Gilts'!A163&lt;'Adj-Gilts'!$B$10,'E-Gilts'!A163," ")</f>
        <v xml:space="preserve"> </v>
      </c>
      <c r="J163" s="26" t="str">
        <f>IF('E-Gilts'!A163&lt;'Adj-Gilts'!$B$10,'E-Gilts'!J163," ")</f>
        <v xml:space="preserve"> </v>
      </c>
      <c r="K163" s="28" t="str">
        <f>IF('E-Gilts'!A163&lt;'Adj-Gilts'!$B$10,'E-Gilts'!N163," ")</f>
        <v xml:space="preserve"> </v>
      </c>
      <c r="L163" s="122" t="str">
        <f>IF('E-Gilts'!A163&lt;'Adj-Gilts'!$B$10,'E-Gilts'!K163," ")</f>
        <v xml:space="preserve"> </v>
      </c>
      <c r="M163" t="str">
        <f>IF('E-Gilts'!A163&lt;'Adj-Gilts'!$B$10,'E-Gilts'!M163," ")</f>
        <v xml:space="preserve"> </v>
      </c>
      <c r="N163" s="30" t="str">
        <f>IF('E-Gilts'!A163&lt;'Adj-Gilts'!$B$10,1/L163," ")</f>
        <v xml:space="preserve"> </v>
      </c>
      <c r="P163" s="31" t="str">
        <f t="shared" si="9"/>
        <v/>
      </c>
      <c r="Q163" s="31" t="str">
        <f t="shared" si="10"/>
        <v/>
      </c>
      <c r="R163" s="31" t="str">
        <f t="shared" si="11"/>
        <v/>
      </c>
    </row>
    <row r="164" spans="1:18" x14ac:dyDescent="0.25">
      <c r="A164" s="28" t="str">
        <f>IF('E-Gilts'!A164&lt;'Adj-Gilts'!$B$10,'E-Gilts'!B164," ")</f>
        <v xml:space="preserve"> </v>
      </c>
      <c r="B164" s="26" t="str">
        <f>IF('E-Gilts'!A164&lt;'Adj-Gilts'!$B$10,'E-Gilts'!A164," ")</f>
        <v xml:space="preserve"> </v>
      </c>
      <c r="C164" s="26" t="str">
        <f>IF('E-Gilts'!A164&lt;'Adj-Gilts'!$B$10,'E-Gilts'!C164," ")</f>
        <v xml:space="preserve"> </v>
      </c>
      <c r="D164" s="28" t="str">
        <f>IF('E-Gilts'!A164&lt;'Adj-Gilts'!$B$10,'E-Gilts'!G164," ")</f>
        <v xml:space="preserve"> </v>
      </c>
      <c r="E164" s="27" t="str">
        <f>IF('E-Gilts'!A164&lt;'Adj-Gilts'!$B$10,'E-Gilts'!D164," ")</f>
        <v xml:space="preserve"> </v>
      </c>
      <c r="F164" s="27"/>
      <c r="G164" s="92" t="str">
        <f t="shared" si="8"/>
        <v xml:space="preserve"> </v>
      </c>
      <c r="H164" s="28" t="str">
        <f>IF('E-Gilts'!A164&lt;'Adj-Gilts'!$B$10,'E-Gilts'!I164," ")</f>
        <v xml:space="preserve"> </v>
      </c>
      <c r="I164" s="126" t="str">
        <f>IF('E-Gilts'!A164&lt;'Adj-Gilts'!$B$10,'E-Gilts'!A164," ")</f>
        <v xml:space="preserve"> </v>
      </c>
      <c r="J164" s="26" t="str">
        <f>IF('E-Gilts'!A164&lt;'Adj-Gilts'!$B$10,'E-Gilts'!J164," ")</f>
        <v xml:space="preserve"> </v>
      </c>
      <c r="K164" s="28" t="str">
        <f>IF('E-Gilts'!A164&lt;'Adj-Gilts'!$B$10,'E-Gilts'!N164," ")</f>
        <v xml:space="preserve"> </v>
      </c>
      <c r="L164" s="122" t="str">
        <f>IF('E-Gilts'!A164&lt;'Adj-Gilts'!$B$10,'E-Gilts'!K164," ")</f>
        <v xml:space="preserve"> </v>
      </c>
      <c r="M164" t="str">
        <f>IF('E-Gilts'!A164&lt;'Adj-Gilts'!$B$10,'E-Gilts'!M164," ")</f>
        <v xml:space="preserve"> </v>
      </c>
      <c r="N164" s="30" t="str">
        <f>IF('E-Gilts'!A164&lt;'Adj-Gilts'!$B$10,1/L164," ")</f>
        <v xml:space="preserve"> </v>
      </c>
      <c r="P164" s="31" t="str">
        <f t="shared" si="9"/>
        <v/>
      </c>
      <c r="Q164" s="31" t="str">
        <f t="shared" si="10"/>
        <v/>
      </c>
      <c r="R164" s="31" t="str">
        <f t="shared" si="11"/>
        <v/>
      </c>
    </row>
    <row r="165" spans="1:18" x14ac:dyDescent="0.25">
      <c r="A165" s="28" t="str">
        <f>IF('E-Gilts'!A165&lt;'Adj-Gilts'!$B$10,'E-Gilts'!B165," ")</f>
        <v xml:space="preserve"> </v>
      </c>
      <c r="B165" s="26" t="str">
        <f>IF('E-Gilts'!A165&lt;'Adj-Gilts'!$B$10,'E-Gilts'!A165," ")</f>
        <v xml:space="preserve"> </v>
      </c>
      <c r="C165" s="26" t="str">
        <f>IF('E-Gilts'!A165&lt;'Adj-Gilts'!$B$10,'E-Gilts'!C165," ")</f>
        <v xml:space="preserve"> </v>
      </c>
      <c r="D165" s="28" t="str">
        <f>IF('E-Gilts'!A165&lt;'Adj-Gilts'!$B$10,'E-Gilts'!G165," ")</f>
        <v xml:space="preserve"> </v>
      </c>
      <c r="E165" s="27" t="str">
        <f>IF('E-Gilts'!A165&lt;'Adj-Gilts'!$B$10,'E-Gilts'!D165," ")</f>
        <v xml:space="preserve"> </v>
      </c>
      <c r="F165" s="27"/>
      <c r="G165" s="92" t="str">
        <f t="shared" si="8"/>
        <v xml:space="preserve"> </v>
      </c>
      <c r="H165" s="28" t="str">
        <f>IF('E-Gilts'!A165&lt;'Adj-Gilts'!$B$10,'E-Gilts'!I165," ")</f>
        <v xml:space="preserve"> </v>
      </c>
      <c r="I165" s="126" t="str">
        <f>IF('E-Gilts'!A165&lt;'Adj-Gilts'!$B$10,'E-Gilts'!A165," ")</f>
        <v xml:space="preserve"> </v>
      </c>
      <c r="J165" s="26" t="str">
        <f>IF('E-Gilts'!A165&lt;'Adj-Gilts'!$B$10,'E-Gilts'!J165," ")</f>
        <v xml:space="preserve"> </v>
      </c>
      <c r="K165" s="28" t="str">
        <f>IF('E-Gilts'!A165&lt;'Adj-Gilts'!$B$10,'E-Gilts'!N165," ")</f>
        <v xml:space="preserve"> </v>
      </c>
      <c r="L165" s="122" t="str">
        <f>IF('E-Gilts'!A165&lt;'Adj-Gilts'!$B$10,'E-Gilts'!K165," ")</f>
        <v xml:space="preserve"> </v>
      </c>
      <c r="M165" t="str">
        <f>IF('E-Gilts'!A165&lt;'Adj-Gilts'!$B$10,'E-Gilts'!M165," ")</f>
        <v xml:space="preserve"> </v>
      </c>
      <c r="N165" s="30" t="str">
        <f>IF('E-Gilts'!A165&lt;'Adj-Gilts'!$B$10,1/L165," ")</f>
        <v xml:space="preserve"> </v>
      </c>
      <c r="P165" s="31" t="str">
        <f t="shared" si="9"/>
        <v/>
      </c>
      <c r="Q165" s="31" t="str">
        <f t="shared" si="10"/>
        <v/>
      </c>
      <c r="R165" s="31" t="str">
        <f t="shared" si="11"/>
        <v/>
      </c>
    </row>
    <row r="166" spans="1:18" x14ac:dyDescent="0.25">
      <c r="A166" s="28" t="str">
        <f>IF('E-Gilts'!A166&lt;'Adj-Gilts'!$B$10,'E-Gilts'!B166," ")</f>
        <v xml:space="preserve"> </v>
      </c>
      <c r="B166" s="26" t="str">
        <f>IF('E-Gilts'!A166&lt;'Adj-Gilts'!$B$10,'E-Gilts'!A166," ")</f>
        <v xml:space="preserve"> </v>
      </c>
      <c r="C166" s="26" t="str">
        <f>IF('E-Gilts'!A166&lt;'Adj-Gilts'!$B$10,'E-Gilts'!C166," ")</f>
        <v xml:space="preserve"> </v>
      </c>
      <c r="D166" s="28" t="str">
        <f>IF('E-Gilts'!A166&lt;'Adj-Gilts'!$B$10,'E-Gilts'!G166," ")</f>
        <v xml:space="preserve"> </v>
      </c>
      <c r="E166" s="27" t="str">
        <f>IF('E-Gilts'!A166&lt;'Adj-Gilts'!$B$10,'E-Gilts'!D166," ")</f>
        <v xml:space="preserve"> </v>
      </c>
      <c r="F166" s="27"/>
      <c r="G166" s="92" t="str">
        <f t="shared" si="8"/>
        <v xml:space="preserve"> </v>
      </c>
      <c r="H166" s="28" t="str">
        <f>IF('E-Gilts'!A166&lt;'Adj-Gilts'!$B$10,'E-Gilts'!I166," ")</f>
        <v xml:space="preserve"> </v>
      </c>
      <c r="I166" s="126" t="str">
        <f>IF('E-Gilts'!A166&lt;'Adj-Gilts'!$B$10,'E-Gilts'!A166," ")</f>
        <v xml:space="preserve"> </v>
      </c>
      <c r="J166" s="26" t="str">
        <f>IF('E-Gilts'!A166&lt;'Adj-Gilts'!$B$10,'E-Gilts'!J166," ")</f>
        <v xml:space="preserve"> </v>
      </c>
      <c r="K166" s="28" t="str">
        <f>IF('E-Gilts'!A166&lt;'Adj-Gilts'!$B$10,'E-Gilts'!N166," ")</f>
        <v xml:space="preserve"> </v>
      </c>
      <c r="L166" s="122" t="str">
        <f>IF('E-Gilts'!A166&lt;'Adj-Gilts'!$B$10,'E-Gilts'!K166," ")</f>
        <v xml:space="preserve"> </v>
      </c>
      <c r="M166" t="str">
        <f>IF('E-Gilts'!A166&lt;'Adj-Gilts'!$B$10,'E-Gilts'!M166," ")</f>
        <v xml:space="preserve"> </v>
      </c>
      <c r="N166" s="30" t="str">
        <f>IF('E-Gilts'!A166&lt;'Adj-Gilts'!$B$10,1/L166," ")</f>
        <v xml:space="preserve"> </v>
      </c>
      <c r="P166" s="31" t="str">
        <f t="shared" si="9"/>
        <v/>
      </c>
      <c r="Q166" s="31" t="str">
        <f t="shared" si="10"/>
        <v/>
      </c>
      <c r="R166" s="31" t="str">
        <f t="shared" si="11"/>
        <v/>
      </c>
    </row>
    <row r="167" spans="1:18" x14ac:dyDescent="0.25">
      <c r="A167" s="28" t="str">
        <f>IF('E-Gilts'!A167&lt;'Adj-Gilts'!$B$10,'E-Gilts'!B167," ")</f>
        <v xml:space="preserve"> </v>
      </c>
      <c r="B167" s="26" t="str">
        <f>IF('E-Gilts'!A167&lt;'Adj-Gilts'!$B$10,'E-Gilts'!A167," ")</f>
        <v xml:space="preserve"> </v>
      </c>
      <c r="C167" s="26" t="str">
        <f>IF('E-Gilts'!A167&lt;'Adj-Gilts'!$B$10,'E-Gilts'!C167," ")</f>
        <v xml:space="preserve"> </v>
      </c>
      <c r="D167" s="28" t="str">
        <f>IF('E-Gilts'!A167&lt;'Adj-Gilts'!$B$10,'E-Gilts'!G167," ")</f>
        <v xml:space="preserve"> </v>
      </c>
      <c r="E167" s="27" t="str">
        <f>IF('E-Gilts'!A167&lt;'Adj-Gilts'!$B$10,'E-Gilts'!D167," ")</f>
        <v xml:space="preserve"> </v>
      </c>
      <c r="F167" s="27"/>
      <c r="G167" s="92" t="str">
        <f t="shared" si="8"/>
        <v xml:space="preserve"> </v>
      </c>
      <c r="H167" s="28" t="str">
        <f>IF('E-Gilts'!A167&lt;'Adj-Gilts'!$B$10,'E-Gilts'!I167," ")</f>
        <v xml:space="preserve"> </v>
      </c>
      <c r="I167" s="126" t="str">
        <f>IF('E-Gilts'!A167&lt;'Adj-Gilts'!$B$10,'E-Gilts'!A167," ")</f>
        <v xml:space="preserve"> </v>
      </c>
      <c r="J167" s="26" t="str">
        <f>IF('E-Gilts'!A167&lt;'Adj-Gilts'!$B$10,'E-Gilts'!J167," ")</f>
        <v xml:space="preserve"> </v>
      </c>
      <c r="K167" s="28" t="str">
        <f>IF('E-Gilts'!A167&lt;'Adj-Gilts'!$B$10,'E-Gilts'!N167," ")</f>
        <v xml:space="preserve"> </v>
      </c>
      <c r="L167" s="122" t="str">
        <f>IF('E-Gilts'!A167&lt;'Adj-Gilts'!$B$10,'E-Gilts'!K167," ")</f>
        <v xml:space="preserve"> </v>
      </c>
      <c r="M167" t="str">
        <f>IF('E-Gilts'!A167&lt;'Adj-Gilts'!$B$10,'E-Gilts'!M167," ")</f>
        <v xml:space="preserve"> </v>
      </c>
      <c r="N167" s="30" t="str">
        <f>IF('E-Gilts'!A167&lt;'Adj-Gilts'!$B$10,1/L167," ")</f>
        <v xml:space="preserve"> </v>
      </c>
      <c r="P167" s="31" t="str">
        <f t="shared" si="9"/>
        <v/>
      </c>
      <c r="Q167" s="31" t="str">
        <f t="shared" si="10"/>
        <v/>
      </c>
      <c r="R167" s="31" t="str">
        <f t="shared" si="11"/>
        <v/>
      </c>
    </row>
    <row r="168" spans="1:18" x14ac:dyDescent="0.25">
      <c r="A168" s="28" t="str">
        <f>IF('E-Gilts'!A168&lt;'Adj-Gilts'!$B$10,'E-Gilts'!B168," ")</f>
        <v xml:space="preserve"> </v>
      </c>
      <c r="B168" s="26" t="str">
        <f>IF('E-Gilts'!A168&lt;'Adj-Gilts'!$B$10,'E-Gilts'!A168," ")</f>
        <v xml:space="preserve"> </v>
      </c>
      <c r="C168" s="26" t="str">
        <f>IF('E-Gilts'!A168&lt;'Adj-Gilts'!$B$10,'E-Gilts'!C168," ")</f>
        <v xml:space="preserve"> </v>
      </c>
      <c r="D168" s="28" t="str">
        <f>IF('E-Gilts'!A168&lt;'Adj-Gilts'!$B$10,'E-Gilts'!G168," ")</f>
        <v xml:space="preserve"> </v>
      </c>
      <c r="E168" s="27" t="str">
        <f>IF('E-Gilts'!A168&lt;'Adj-Gilts'!$B$10,'E-Gilts'!D168," ")</f>
        <v xml:space="preserve"> </v>
      </c>
      <c r="F168" s="27"/>
      <c r="G168" s="92" t="str">
        <f t="shared" si="8"/>
        <v xml:space="preserve"> </v>
      </c>
      <c r="H168" s="28" t="str">
        <f>IF('E-Gilts'!A168&lt;'Adj-Gilts'!$B$10,'E-Gilts'!I168," ")</f>
        <v xml:space="preserve"> </v>
      </c>
      <c r="I168" s="126" t="str">
        <f>IF('E-Gilts'!A168&lt;'Adj-Gilts'!$B$10,'E-Gilts'!A168," ")</f>
        <v xml:space="preserve"> </v>
      </c>
      <c r="J168" s="26" t="str">
        <f>IF('E-Gilts'!A168&lt;'Adj-Gilts'!$B$10,'E-Gilts'!J168," ")</f>
        <v xml:space="preserve"> </v>
      </c>
      <c r="K168" s="28" t="str">
        <f>IF('E-Gilts'!A168&lt;'Adj-Gilts'!$B$10,'E-Gilts'!N168," ")</f>
        <v xml:space="preserve"> </v>
      </c>
      <c r="L168" s="122" t="str">
        <f>IF('E-Gilts'!A168&lt;'Adj-Gilts'!$B$10,'E-Gilts'!K168," ")</f>
        <v xml:space="preserve"> </v>
      </c>
      <c r="M168" t="str">
        <f>IF('E-Gilts'!A168&lt;'Adj-Gilts'!$B$10,'E-Gilts'!M168," ")</f>
        <v xml:space="preserve"> </v>
      </c>
      <c r="N168" s="30" t="str">
        <f>IF('E-Gilts'!A168&lt;'Adj-Gilts'!$B$10,1/L168," ")</f>
        <v xml:space="preserve"> </v>
      </c>
      <c r="P168" s="31" t="str">
        <f t="shared" si="9"/>
        <v/>
      </c>
      <c r="Q168" s="31" t="str">
        <f t="shared" si="10"/>
        <v/>
      </c>
      <c r="R168" s="31" t="str">
        <f t="shared" si="11"/>
        <v/>
      </c>
    </row>
    <row r="169" spans="1:18" x14ac:dyDescent="0.25">
      <c r="A169" s="28" t="str">
        <f>IF('E-Gilts'!A169&lt;'Adj-Gilts'!$B$10,'E-Gilts'!B169," ")</f>
        <v xml:space="preserve"> </v>
      </c>
      <c r="B169" s="26" t="str">
        <f>IF('E-Gilts'!A169&lt;'Adj-Gilts'!$B$10,'E-Gilts'!A169," ")</f>
        <v xml:space="preserve"> </v>
      </c>
      <c r="C169" s="26" t="str">
        <f>IF('E-Gilts'!A169&lt;'Adj-Gilts'!$B$10,'E-Gilts'!C169," ")</f>
        <v xml:space="preserve"> </v>
      </c>
      <c r="D169" s="28" t="str">
        <f>IF('E-Gilts'!A169&lt;'Adj-Gilts'!$B$10,'E-Gilts'!G169," ")</f>
        <v xml:space="preserve"> </v>
      </c>
      <c r="E169" s="27" t="str">
        <f>IF('E-Gilts'!A169&lt;'Adj-Gilts'!$B$10,'E-Gilts'!D169," ")</f>
        <v xml:space="preserve"> </v>
      </c>
      <c r="F169" s="27"/>
      <c r="G169" s="92" t="str">
        <f t="shared" si="8"/>
        <v xml:space="preserve"> </v>
      </c>
      <c r="H169" s="28" t="str">
        <f>IF('E-Gilts'!A169&lt;'Adj-Gilts'!$B$10,'E-Gilts'!I169," ")</f>
        <v xml:space="preserve"> </v>
      </c>
      <c r="I169" s="126" t="str">
        <f>IF('E-Gilts'!A169&lt;'Adj-Gilts'!$B$10,'E-Gilts'!A169," ")</f>
        <v xml:space="preserve"> </v>
      </c>
      <c r="J169" s="26" t="str">
        <f>IF('E-Gilts'!A169&lt;'Adj-Gilts'!$B$10,'E-Gilts'!J169," ")</f>
        <v xml:space="preserve"> </v>
      </c>
      <c r="K169" s="28" t="str">
        <f>IF('E-Gilts'!A169&lt;'Adj-Gilts'!$B$10,'E-Gilts'!N169," ")</f>
        <v xml:space="preserve"> </v>
      </c>
      <c r="L169" s="122" t="str">
        <f>IF('E-Gilts'!A169&lt;'Adj-Gilts'!$B$10,'E-Gilts'!K169," ")</f>
        <v xml:space="preserve"> </v>
      </c>
      <c r="M169" t="str">
        <f>IF('E-Gilts'!A169&lt;'Adj-Gilts'!$B$10,'E-Gilts'!M169," ")</f>
        <v xml:space="preserve"> </v>
      </c>
      <c r="N169" s="30" t="str">
        <f>IF('E-Gilts'!A169&lt;'Adj-Gilts'!$B$10,1/L169," ")</f>
        <v xml:space="preserve"> </v>
      </c>
      <c r="P169" s="31" t="str">
        <f t="shared" si="9"/>
        <v/>
      </c>
      <c r="Q169" s="31" t="str">
        <f t="shared" si="10"/>
        <v/>
      </c>
      <c r="R169" s="31" t="str">
        <f t="shared" si="11"/>
        <v/>
      </c>
    </row>
    <row r="170" spans="1:18" x14ac:dyDescent="0.25">
      <c r="A170" s="28" t="str">
        <f>IF('E-Gilts'!A170&lt;'Adj-Gilts'!$B$10,'E-Gilts'!B170," ")</f>
        <v xml:space="preserve"> </v>
      </c>
      <c r="B170" s="26" t="str">
        <f>IF('E-Gilts'!A170&lt;'Adj-Gilts'!$B$10,'E-Gilts'!A170," ")</f>
        <v xml:space="preserve"> </v>
      </c>
      <c r="C170" s="26" t="str">
        <f>IF('E-Gilts'!A170&lt;'Adj-Gilts'!$B$10,'E-Gilts'!C170," ")</f>
        <v xml:space="preserve"> </v>
      </c>
      <c r="D170" s="28" t="str">
        <f>IF('E-Gilts'!A170&lt;'Adj-Gilts'!$B$10,'E-Gilts'!G170," ")</f>
        <v xml:space="preserve"> </v>
      </c>
      <c r="E170" s="27" t="str">
        <f>IF('E-Gilts'!A170&lt;'Adj-Gilts'!$B$10,'E-Gilts'!D170," ")</f>
        <v xml:space="preserve"> </v>
      </c>
      <c r="F170" s="27"/>
      <c r="G170" s="92" t="str">
        <f t="shared" si="8"/>
        <v xml:space="preserve"> </v>
      </c>
      <c r="H170" s="28" t="str">
        <f>IF('E-Gilts'!A170&lt;'Adj-Gilts'!$B$10,'E-Gilts'!I170," ")</f>
        <v xml:space="preserve"> </v>
      </c>
      <c r="I170" s="126" t="str">
        <f>IF('E-Gilts'!A170&lt;'Adj-Gilts'!$B$10,'E-Gilts'!A170," ")</f>
        <v xml:space="preserve"> </v>
      </c>
      <c r="J170" s="26" t="str">
        <f>IF('E-Gilts'!A170&lt;'Adj-Gilts'!$B$10,'E-Gilts'!J170," ")</f>
        <v xml:space="preserve"> </v>
      </c>
      <c r="K170" s="28" t="str">
        <f>IF('E-Gilts'!A170&lt;'Adj-Gilts'!$B$10,'E-Gilts'!N170," ")</f>
        <v xml:space="preserve"> </v>
      </c>
      <c r="L170" s="122" t="str">
        <f>IF('E-Gilts'!A170&lt;'Adj-Gilts'!$B$10,'E-Gilts'!K170," ")</f>
        <v xml:space="preserve"> </v>
      </c>
      <c r="M170" t="str">
        <f>IF('E-Gilts'!A170&lt;'Adj-Gilts'!$B$10,'E-Gilts'!M170," ")</f>
        <v xml:space="preserve"> </v>
      </c>
      <c r="N170" s="30" t="str">
        <f>IF('E-Gilts'!A170&lt;'Adj-Gilts'!$B$10,1/L170," ")</f>
        <v xml:space="preserve"> </v>
      </c>
      <c r="P170" s="31" t="str">
        <f t="shared" si="9"/>
        <v/>
      </c>
      <c r="Q170" s="31" t="str">
        <f t="shared" si="10"/>
        <v/>
      </c>
      <c r="R170" s="31" t="str">
        <f t="shared" si="11"/>
        <v/>
      </c>
    </row>
    <row r="171" spans="1:18" x14ac:dyDescent="0.25">
      <c r="A171" s="28" t="str">
        <f>IF('E-Gilts'!A171&lt;'Adj-Gilts'!$B$10,'E-Gilts'!B171," ")</f>
        <v xml:space="preserve"> </v>
      </c>
      <c r="B171" s="26" t="str">
        <f>IF('E-Gilts'!A171&lt;'Adj-Gilts'!$B$10,'E-Gilts'!A171," ")</f>
        <v xml:space="preserve"> </v>
      </c>
      <c r="C171" s="26" t="str">
        <f>IF('E-Gilts'!A171&lt;'Adj-Gilts'!$B$10,'E-Gilts'!C171," ")</f>
        <v xml:space="preserve"> </v>
      </c>
      <c r="D171" s="28" t="str">
        <f>IF('E-Gilts'!A171&lt;'Adj-Gilts'!$B$10,'E-Gilts'!G171," ")</f>
        <v xml:space="preserve"> </v>
      </c>
      <c r="E171" s="27" t="str">
        <f>IF('E-Gilts'!A171&lt;'Adj-Gilts'!$B$10,'E-Gilts'!D171," ")</f>
        <v xml:space="preserve"> </v>
      </c>
      <c r="F171" s="27"/>
      <c r="G171" s="92" t="str">
        <f t="shared" si="8"/>
        <v xml:space="preserve"> </v>
      </c>
      <c r="H171" s="28" t="str">
        <f>IF('E-Gilts'!A171&lt;'Adj-Gilts'!$B$10,'E-Gilts'!I171," ")</f>
        <v xml:space="preserve"> </v>
      </c>
      <c r="I171" s="126" t="str">
        <f>IF('E-Gilts'!A171&lt;'Adj-Gilts'!$B$10,'E-Gilts'!A171," ")</f>
        <v xml:space="preserve"> </v>
      </c>
      <c r="J171" s="26" t="str">
        <f>IF('E-Gilts'!A171&lt;'Adj-Gilts'!$B$10,'E-Gilts'!J171," ")</f>
        <v xml:space="preserve"> </v>
      </c>
      <c r="K171" s="28" t="str">
        <f>IF('E-Gilts'!A171&lt;'Adj-Gilts'!$B$10,'E-Gilts'!N171," ")</f>
        <v xml:space="preserve"> </v>
      </c>
      <c r="L171" s="122" t="str">
        <f>IF('E-Gilts'!A171&lt;'Adj-Gilts'!$B$10,'E-Gilts'!K171," ")</f>
        <v xml:space="preserve"> </v>
      </c>
      <c r="M171" t="str">
        <f>IF('E-Gilts'!A171&lt;'Adj-Gilts'!$B$10,'E-Gilts'!M171," ")</f>
        <v xml:space="preserve"> </v>
      </c>
      <c r="N171" s="30" t="str">
        <f>IF('E-Gilts'!A171&lt;'Adj-Gilts'!$B$10,1/L171," ")</f>
        <v xml:space="preserve"> </v>
      </c>
      <c r="P171" s="31" t="str">
        <f t="shared" si="9"/>
        <v/>
      </c>
      <c r="Q171" s="31" t="str">
        <f t="shared" si="10"/>
        <v/>
      </c>
      <c r="R171" s="31" t="str">
        <f t="shared" si="11"/>
        <v/>
      </c>
    </row>
    <row r="172" spans="1:18" x14ac:dyDescent="0.25">
      <c r="A172" s="28" t="str">
        <f>IF('E-Gilts'!A172&lt;'Adj-Gilts'!$B$10,'E-Gilts'!B172," ")</f>
        <v xml:space="preserve"> </v>
      </c>
      <c r="B172" s="26" t="str">
        <f>IF('E-Gilts'!A172&lt;'Adj-Gilts'!$B$10,'E-Gilts'!A172," ")</f>
        <v xml:space="preserve"> </v>
      </c>
      <c r="C172" s="26" t="str">
        <f>IF('E-Gilts'!A172&lt;'Adj-Gilts'!$B$10,'E-Gilts'!C172," ")</f>
        <v xml:space="preserve"> </v>
      </c>
      <c r="D172" s="28" t="str">
        <f>IF('E-Gilts'!A172&lt;'Adj-Gilts'!$B$10,'E-Gilts'!G172," ")</f>
        <v xml:space="preserve"> </v>
      </c>
      <c r="E172" s="27" t="str">
        <f>IF('E-Gilts'!A172&lt;'Adj-Gilts'!$B$10,'E-Gilts'!D172," ")</f>
        <v xml:space="preserve"> </v>
      </c>
      <c r="F172" s="27"/>
      <c r="G172" s="92" t="str">
        <f t="shared" si="8"/>
        <v xml:space="preserve"> </v>
      </c>
      <c r="H172" s="28" t="str">
        <f>IF('E-Gilts'!A172&lt;'Adj-Gilts'!$B$10,'E-Gilts'!I172," ")</f>
        <v xml:space="preserve"> </v>
      </c>
      <c r="I172" s="126" t="str">
        <f>IF('E-Gilts'!A172&lt;'Adj-Gilts'!$B$10,'E-Gilts'!A172," ")</f>
        <v xml:space="preserve"> </v>
      </c>
      <c r="J172" s="26" t="str">
        <f>IF('E-Gilts'!A172&lt;'Adj-Gilts'!$B$10,'E-Gilts'!J172," ")</f>
        <v xml:space="preserve"> </v>
      </c>
      <c r="K172" s="28" t="str">
        <f>IF('E-Gilts'!A172&lt;'Adj-Gilts'!$B$10,'E-Gilts'!N172," ")</f>
        <v xml:space="preserve"> </v>
      </c>
      <c r="L172" s="122" t="str">
        <f>IF('E-Gilts'!A172&lt;'Adj-Gilts'!$B$10,'E-Gilts'!K172," ")</f>
        <v xml:space="preserve"> </v>
      </c>
      <c r="M172" t="str">
        <f>IF('E-Gilts'!A172&lt;'Adj-Gilts'!$B$10,'E-Gilts'!M172," ")</f>
        <v xml:space="preserve"> </v>
      </c>
      <c r="N172" s="30" t="str">
        <f>IF('E-Gilts'!A172&lt;'Adj-Gilts'!$B$10,1/L172," ")</f>
        <v xml:space="preserve"> </v>
      </c>
      <c r="P172" s="31" t="str">
        <f t="shared" si="9"/>
        <v/>
      </c>
      <c r="Q172" s="31" t="str">
        <f t="shared" si="10"/>
        <v/>
      </c>
      <c r="R172" s="31" t="str">
        <f t="shared" si="11"/>
        <v/>
      </c>
    </row>
    <row r="173" spans="1:18" x14ac:dyDescent="0.25">
      <c r="A173" s="28" t="str">
        <f>IF('E-Gilts'!A173&lt;'Adj-Gilts'!$B$10,'E-Gilts'!B173," ")</f>
        <v xml:space="preserve"> </v>
      </c>
      <c r="B173" s="26" t="str">
        <f>IF('E-Gilts'!A173&lt;'Adj-Gilts'!$B$10,'E-Gilts'!A173," ")</f>
        <v xml:space="preserve"> </v>
      </c>
      <c r="C173" s="26" t="str">
        <f>IF('E-Gilts'!A173&lt;'Adj-Gilts'!$B$10,'E-Gilts'!C173," ")</f>
        <v xml:space="preserve"> </v>
      </c>
      <c r="D173" s="28" t="str">
        <f>IF('E-Gilts'!A173&lt;'Adj-Gilts'!$B$10,'E-Gilts'!G173," ")</f>
        <v xml:space="preserve"> </v>
      </c>
      <c r="E173" s="27" t="str">
        <f>IF('E-Gilts'!A173&lt;'Adj-Gilts'!$B$10,'E-Gilts'!D173," ")</f>
        <v xml:space="preserve"> </v>
      </c>
      <c r="F173" s="27"/>
      <c r="G173" s="92" t="str">
        <f t="shared" si="8"/>
        <v xml:space="preserve"> </v>
      </c>
      <c r="H173" s="28" t="str">
        <f>IF('E-Gilts'!A173&lt;'Adj-Gilts'!$B$10,'E-Gilts'!I173," ")</f>
        <v xml:space="preserve"> </v>
      </c>
      <c r="I173" s="126" t="str">
        <f>IF('E-Gilts'!A173&lt;'Adj-Gilts'!$B$10,'E-Gilts'!A173," ")</f>
        <v xml:space="preserve"> </v>
      </c>
      <c r="J173" s="26" t="str">
        <f>IF('E-Gilts'!A173&lt;'Adj-Gilts'!$B$10,'E-Gilts'!J173," ")</f>
        <v xml:space="preserve"> </v>
      </c>
      <c r="K173" s="28" t="str">
        <f>IF('E-Gilts'!A173&lt;'Adj-Gilts'!$B$10,'E-Gilts'!N173," ")</f>
        <v xml:space="preserve"> </v>
      </c>
      <c r="L173" s="122" t="str">
        <f>IF('E-Gilts'!A173&lt;'Adj-Gilts'!$B$10,'E-Gilts'!K173," ")</f>
        <v xml:space="preserve"> </v>
      </c>
      <c r="M173" t="str">
        <f>IF('E-Gilts'!A173&lt;'Adj-Gilts'!$B$10,'E-Gilts'!M173," ")</f>
        <v xml:space="preserve"> </v>
      </c>
      <c r="N173" s="30" t="str">
        <f>IF('E-Gilts'!A173&lt;'Adj-Gilts'!$B$10,1/L173," ")</f>
        <v xml:space="preserve"> </v>
      </c>
      <c r="P173" s="31" t="str">
        <f t="shared" si="9"/>
        <v/>
      </c>
      <c r="Q173" s="31" t="str">
        <f t="shared" si="10"/>
        <v/>
      </c>
      <c r="R173" s="31" t="str">
        <f t="shared" si="11"/>
        <v/>
      </c>
    </row>
    <row r="174" spans="1:18" x14ac:dyDescent="0.25">
      <c r="A174" s="28" t="str">
        <f>IF('E-Gilts'!A174&lt;'Adj-Gilts'!$B$10,'E-Gilts'!B174," ")</f>
        <v xml:space="preserve"> </v>
      </c>
      <c r="B174" s="26" t="str">
        <f>IF('E-Gilts'!A174&lt;'Adj-Gilts'!$B$10,'E-Gilts'!A174," ")</f>
        <v xml:space="preserve"> </v>
      </c>
      <c r="C174" s="26" t="str">
        <f>IF('E-Gilts'!A174&lt;'Adj-Gilts'!$B$10,'E-Gilts'!C174," ")</f>
        <v xml:space="preserve"> </v>
      </c>
      <c r="D174" s="28" t="str">
        <f>IF('E-Gilts'!A174&lt;'Adj-Gilts'!$B$10,'E-Gilts'!G174," ")</f>
        <v xml:space="preserve"> </v>
      </c>
      <c r="E174" s="27" t="str">
        <f>IF('E-Gilts'!A174&lt;'Adj-Gilts'!$B$10,'E-Gilts'!D174," ")</f>
        <v xml:space="preserve"> </v>
      </c>
      <c r="F174" s="27"/>
      <c r="G174" s="92" t="str">
        <f t="shared" si="8"/>
        <v xml:space="preserve"> </v>
      </c>
      <c r="H174" s="28" t="str">
        <f>IF('E-Gilts'!A174&lt;'Adj-Gilts'!$B$10,'E-Gilts'!I174," ")</f>
        <v xml:space="preserve"> </v>
      </c>
      <c r="I174" s="126" t="str">
        <f>IF('E-Gilts'!A174&lt;'Adj-Gilts'!$B$10,'E-Gilts'!A174," ")</f>
        <v xml:space="preserve"> </v>
      </c>
      <c r="J174" s="26" t="str">
        <f>IF('E-Gilts'!A174&lt;'Adj-Gilts'!$B$10,'E-Gilts'!J174," ")</f>
        <v xml:space="preserve"> </v>
      </c>
      <c r="K174" s="28" t="str">
        <f>IF('E-Gilts'!A174&lt;'Adj-Gilts'!$B$10,'E-Gilts'!N174," ")</f>
        <v xml:space="preserve"> </v>
      </c>
      <c r="L174" s="122" t="str">
        <f>IF('E-Gilts'!A174&lt;'Adj-Gilts'!$B$10,'E-Gilts'!K174," ")</f>
        <v xml:space="preserve"> </v>
      </c>
      <c r="M174" t="str">
        <f>IF('E-Gilts'!A174&lt;'Adj-Gilts'!$B$10,'E-Gilts'!M174," ")</f>
        <v xml:space="preserve"> </v>
      </c>
      <c r="N174" s="30" t="str">
        <f>IF('E-Gilts'!A174&lt;'Adj-Gilts'!$B$10,1/L174," ")</f>
        <v xml:space="preserve"> </v>
      </c>
      <c r="P174" s="31" t="str">
        <f t="shared" si="9"/>
        <v/>
      </c>
      <c r="Q174" s="31" t="str">
        <f t="shared" si="10"/>
        <v/>
      </c>
      <c r="R174" s="31" t="str">
        <f t="shared" si="11"/>
        <v/>
      </c>
    </row>
    <row r="175" spans="1:18" x14ac:dyDescent="0.25">
      <c r="A175" s="28" t="str">
        <f>IF('E-Gilts'!A175&lt;'Adj-Gilts'!$B$10,'E-Gilts'!B175," ")</f>
        <v xml:space="preserve"> </v>
      </c>
      <c r="B175" s="26" t="str">
        <f>IF('E-Gilts'!A175&lt;'Adj-Gilts'!$B$10,'E-Gilts'!A175," ")</f>
        <v xml:space="preserve"> </v>
      </c>
      <c r="C175" s="26" t="str">
        <f>IF('E-Gilts'!A175&lt;'Adj-Gilts'!$B$10,'E-Gilts'!C175," ")</f>
        <v xml:space="preserve"> </v>
      </c>
      <c r="D175" s="28" t="str">
        <f>IF('E-Gilts'!A175&lt;'Adj-Gilts'!$B$10,'E-Gilts'!G175," ")</f>
        <v xml:space="preserve"> </v>
      </c>
      <c r="E175" s="27" t="str">
        <f>IF('E-Gilts'!A175&lt;'Adj-Gilts'!$B$10,'E-Gilts'!D175," ")</f>
        <v xml:space="preserve"> </v>
      </c>
      <c r="F175" s="27"/>
      <c r="G175" s="92" t="str">
        <f t="shared" si="8"/>
        <v xml:space="preserve"> </v>
      </c>
      <c r="H175" s="28" t="str">
        <f>IF('E-Gilts'!A175&lt;'Adj-Gilts'!$B$10,'E-Gilts'!I175," ")</f>
        <v xml:space="preserve"> </v>
      </c>
      <c r="I175" s="126" t="str">
        <f>IF('E-Gilts'!A175&lt;'Adj-Gilts'!$B$10,'E-Gilts'!A175," ")</f>
        <v xml:space="preserve"> </v>
      </c>
      <c r="J175" s="26" t="str">
        <f>IF('E-Gilts'!A175&lt;'Adj-Gilts'!$B$10,'E-Gilts'!J175," ")</f>
        <v xml:space="preserve"> </v>
      </c>
      <c r="K175" s="28" t="str">
        <f>IF('E-Gilts'!A175&lt;'Adj-Gilts'!$B$10,'E-Gilts'!N175," ")</f>
        <v xml:space="preserve"> </v>
      </c>
      <c r="L175" s="122" t="str">
        <f>IF('E-Gilts'!A175&lt;'Adj-Gilts'!$B$10,'E-Gilts'!K175," ")</f>
        <v xml:space="preserve"> </v>
      </c>
      <c r="M175" t="str">
        <f>IF('E-Gilts'!A175&lt;'Adj-Gilts'!$B$10,'E-Gilts'!M175," ")</f>
        <v xml:space="preserve"> </v>
      </c>
      <c r="N175" s="30" t="str">
        <f>IF('E-Gilts'!A175&lt;'Adj-Gilts'!$B$10,1/L175," ")</f>
        <v xml:space="preserve"> </v>
      </c>
      <c r="P175" s="31" t="str">
        <f t="shared" si="9"/>
        <v/>
      </c>
      <c r="Q175" s="31" t="str">
        <f t="shared" si="10"/>
        <v/>
      </c>
      <c r="R175" s="31" t="str">
        <f t="shared" si="11"/>
        <v/>
      </c>
    </row>
    <row r="176" spans="1:18" x14ac:dyDescent="0.25">
      <c r="A176" s="28" t="str">
        <f>IF('E-Gilts'!A176&lt;'Adj-Gilts'!$B$10,'E-Gilts'!B176," ")</f>
        <v xml:space="preserve"> </v>
      </c>
      <c r="B176" s="26" t="str">
        <f>IF('E-Gilts'!A176&lt;'Adj-Gilts'!$B$10,'E-Gilts'!A176," ")</f>
        <v xml:space="preserve"> </v>
      </c>
      <c r="C176" s="26" t="str">
        <f>IF('E-Gilts'!A176&lt;'Adj-Gilts'!$B$10,'E-Gilts'!C176," ")</f>
        <v xml:space="preserve"> </v>
      </c>
      <c r="D176" s="28" t="str">
        <f>IF('E-Gilts'!A176&lt;'Adj-Gilts'!$B$10,'E-Gilts'!G176," ")</f>
        <v xml:space="preserve"> </v>
      </c>
      <c r="E176" s="27" t="str">
        <f>IF('E-Gilts'!A176&lt;'Adj-Gilts'!$B$10,'E-Gilts'!D176," ")</f>
        <v xml:space="preserve"> </v>
      </c>
      <c r="F176" s="27"/>
      <c r="G176" s="92" t="str">
        <f t="shared" si="8"/>
        <v xml:space="preserve"> </v>
      </c>
      <c r="H176" s="28" t="str">
        <f>IF('E-Gilts'!A176&lt;'Adj-Gilts'!$B$10,'E-Gilts'!I176," ")</f>
        <v xml:space="preserve"> </v>
      </c>
      <c r="I176" s="126" t="str">
        <f>IF('E-Gilts'!A176&lt;'Adj-Gilts'!$B$10,'E-Gilts'!A176," ")</f>
        <v xml:space="preserve"> </v>
      </c>
      <c r="J176" s="26" t="str">
        <f>IF('E-Gilts'!A176&lt;'Adj-Gilts'!$B$10,'E-Gilts'!J176," ")</f>
        <v xml:space="preserve"> </v>
      </c>
      <c r="K176" s="28" t="str">
        <f>IF('E-Gilts'!A176&lt;'Adj-Gilts'!$B$10,'E-Gilts'!N176," ")</f>
        <v xml:space="preserve"> </v>
      </c>
      <c r="L176" s="122" t="str">
        <f>IF('E-Gilts'!A176&lt;'Adj-Gilts'!$B$10,'E-Gilts'!K176," ")</f>
        <v xml:space="preserve"> </v>
      </c>
      <c r="M176" t="str">
        <f>IF('E-Gilts'!A176&lt;'Adj-Gilts'!$B$10,'E-Gilts'!M176," ")</f>
        <v xml:space="preserve"> </v>
      </c>
      <c r="N176" s="30" t="str">
        <f>IF('E-Gilts'!A176&lt;'Adj-Gilts'!$B$10,1/L176," ")</f>
        <v xml:space="preserve"> </v>
      </c>
      <c r="P176" s="31" t="str">
        <f t="shared" si="9"/>
        <v/>
      </c>
      <c r="Q176" s="31" t="str">
        <f t="shared" si="10"/>
        <v/>
      </c>
      <c r="R176" s="31" t="str">
        <f t="shared" si="11"/>
        <v/>
      </c>
    </row>
    <row r="177" spans="1:18" x14ac:dyDescent="0.25">
      <c r="A177" s="28" t="str">
        <f>IF('E-Gilts'!A177&lt;'Adj-Gilts'!$B$10,'E-Gilts'!B177," ")</f>
        <v xml:space="preserve"> </v>
      </c>
      <c r="B177" s="26" t="str">
        <f>IF('E-Gilts'!A177&lt;'Adj-Gilts'!$B$10,'E-Gilts'!A177," ")</f>
        <v xml:space="preserve"> </v>
      </c>
      <c r="C177" s="26" t="str">
        <f>IF('E-Gilts'!A177&lt;'Adj-Gilts'!$B$10,'E-Gilts'!C177," ")</f>
        <v xml:space="preserve"> </v>
      </c>
      <c r="D177" s="28" t="str">
        <f>IF('E-Gilts'!A177&lt;'Adj-Gilts'!$B$10,'E-Gilts'!G177," ")</f>
        <v xml:space="preserve"> </v>
      </c>
      <c r="E177" s="27" t="str">
        <f>IF('E-Gilts'!A177&lt;'Adj-Gilts'!$B$10,'E-Gilts'!D177," ")</f>
        <v xml:space="preserve"> </v>
      </c>
      <c r="F177" s="27"/>
      <c r="G177" s="92" t="str">
        <f t="shared" si="8"/>
        <v xml:space="preserve"> </v>
      </c>
      <c r="H177" s="28" t="str">
        <f>IF('E-Gilts'!A177&lt;'Adj-Gilts'!$B$10,'E-Gilts'!I177," ")</f>
        <v xml:space="preserve"> </v>
      </c>
      <c r="I177" s="126" t="str">
        <f>IF('E-Gilts'!A177&lt;'Adj-Gilts'!$B$10,'E-Gilts'!A177," ")</f>
        <v xml:space="preserve"> </v>
      </c>
      <c r="J177" s="26" t="str">
        <f>IF('E-Gilts'!A177&lt;'Adj-Gilts'!$B$10,'E-Gilts'!J177," ")</f>
        <v xml:space="preserve"> </v>
      </c>
      <c r="K177" s="28" t="str">
        <f>IF('E-Gilts'!A177&lt;'Adj-Gilts'!$B$10,'E-Gilts'!N177," ")</f>
        <v xml:space="preserve"> </v>
      </c>
      <c r="L177" s="122" t="str">
        <f>IF('E-Gilts'!A177&lt;'Adj-Gilts'!$B$10,'E-Gilts'!K177," ")</f>
        <v xml:space="preserve"> </v>
      </c>
      <c r="M177" t="str">
        <f>IF('E-Gilts'!A177&lt;'Adj-Gilts'!$B$10,'E-Gilts'!M177," ")</f>
        <v xml:space="preserve"> </v>
      </c>
      <c r="N177" s="30" t="str">
        <f>IF('E-Gilts'!A177&lt;'Adj-Gilts'!$B$10,1/L177," ")</f>
        <v xml:space="preserve"> </v>
      </c>
      <c r="P177" s="31" t="str">
        <f t="shared" si="9"/>
        <v/>
      </c>
      <c r="Q177" s="31" t="str">
        <f t="shared" si="10"/>
        <v/>
      </c>
      <c r="R177" s="31" t="str">
        <f t="shared" si="11"/>
        <v/>
      </c>
    </row>
    <row r="178" spans="1:18" x14ac:dyDescent="0.25">
      <c r="A178" s="28" t="str">
        <f>IF('E-Gilts'!A178&lt;'Adj-Gilts'!$B$10,'E-Gilts'!B178," ")</f>
        <v xml:space="preserve"> </v>
      </c>
      <c r="B178" s="26" t="str">
        <f>IF('E-Gilts'!A178&lt;'Adj-Gilts'!$B$10,'E-Gilts'!A178," ")</f>
        <v xml:space="preserve"> </v>
      </c>
      <c r="C178" s="26" t="str">
        <f>IF('E-Gilts'!A178&lt;'Adj-Gilts'!$B$10,'E-Gilts'!C178," ")</f>
        <v xml:space="preserve"> </v>
      </c>
      <c r="D178" s="28" t="str">
        <f>IF('E-Gilts'!A178&lt;'Adj-Gilts'!$B$10,'E-Gilts'!G178," ")</f>
        <v xml:space="preserve"> </v>
      </c>
      <c r="E178" s="27" t="str">
        <f>IF('E-Gilts'!A178&lt;'Adj-Gilts'!$B$10,'E-Gilts'!D178," ")</f>
        <v xml:space="preserve"> </v>
      </c>
      <c r="F178" s="27"/>
      <c r="G178" s="92" t="str">
        <f t="shared" si="8"/>
        <v xml:space="preserve"> </v>
      </c>
      <c r="H178" s="28" t="str">
        <f>IF('E-Gilts'!A178&lt;'Adj-Gilts'!$B$10,'E-Gilts'!I178," ")</f>
        <v xml:space="preserve"> </v>
      </c>
      <c r="I178" s="126" t="str">
        <f>IF('E-Gilts'!A178&lt;'Adj-Gilts'!$B$10,'E-Gilts'!A178," ")</f>
        <v xml:space="preserve"> </v>
      </c>
      <c r="J178" s="26" t="str">
        <f>IF('E-Gilts'!A178&lt;'Adj-Gilts'!$B$10,'E-Gilts'!J178," ")</f>
        <v xml:space="preserve"> </v>
      </c>
      <c r="K178" s="28" t="str">
        <f>IF('E-Gilts'!A178&lt;'Adj-Gilts'!$B$10,'E-Gilts'!N178," ")</f>
        <v xml:space="preserve"> </v>
      </c>
      <c r="L178" s="122" t="str">
        <f>IF('E-Gilts'!A178&lt;'Adj-Gilts'!$B$10,'E-Gilts'!K178," ")</f>
        <v xml:space="preserve"> </v>
      </c>
      <c r="M178" t="str">
        <f>IF('E-Gilts'!A178&lt;'Adj-Gilts'!$B$10,'E-Gilts'!M178," ")</f>
        <v xml:space="preserve"> </v>
      </c>
      <c r="N178" s="30" t="str">
        <f>IF('E-Gilts'!A178&lt;'Adj-Gilts'!$B$10,1/L178," ")</f>
        <v xml:space="preserve"> </v>
      </c>
      <c r="P178" s="31" t="str">
        <f t="shared" si="9"/>
        <v/>
      </c>
      <c r="Q178" s="31" t="str">
        <f t="shared" si="10"/>
        <v/>
      </c>
      <c r="R178" s="31" t="str">
        <f t="shared" si="11"/>
        <v/>
      </c>
    </row>
    <row r="179" spans="1:18" x14ac:dyDescent="0.25">
      <c r="A179" s="28" t="str">
        <f>IF('E-Gilts'!A179&lt;'Adj-Gilts'!$B$10,'E-Gilts'!B179," ")</f>
        <v xml:space="preserve"> </v>
      </c>
      <c r="B179" s="26" t="str">
        <f>IF('E-Gilts'!A179&lt;'Adj-Gilts'!$B$10,'E-Gilts'!A179," ")</f>
        <v xml:space="preserve"> </v>
      </c>
      <c r="C179" s="26" t="str">
        <f>IF('E-Gilts'!A179&lt;'Adj-Gilts'!$B$10,'E-Gilts'!C179," ")</f>
        <v xml:space="preserve"> </v>
      </c>
      <c r="D179" s="28" t="str">
        <f>IF('E-Gilts'!A179&lt;'Adj-Gilts'!$B$10,'E-Gilts'!G179," ")</f>
        <v xml:space="preserve"> </v>
      </c>
      <c r="E179" s="27" t="str">
        <f>IF('E-Gilts'!A179&lt;'Adj-Gilts'!$B$10,'E-Gilts'!D179," ")</f>
        <v xml:space="preserve"> </v>
      </c>
      <c r="F179" s="27"/>
      <c r="G179" s="92" t="str">
        <f t="shared" si="8"/>
        <v xml:space="preserve"> </v>
      </c>
      <c r="H179" s="28" t="str">
        <f>IF('E-Gilts'!A179&lt;'Adj-Gilts'!$B$10,'E-Gilts'!I179," ")</f>
        <v xml:space="preserve"> </v>
      </c>
      <c r="I179" s="126" t="str">
        <f>IF('E-Gilts'!A179&lt;'Adj-Gilts'!$B$10,'E-Gilts'!A179," ")</f>
        <v xml:space="preserve"> </v>
      </c>
      <c r="J179" s="26" t="str">
        <f>IF('E-Gilts'!A179&lt;'Adj-Gilts'!$B$10,'E-Gilts'!J179," ")</f>
        <v xml:space="preserve"> </v>
      </c>
      <c r="K179" s="28" t="str">
        <f>IF('E-Gilts'!A179&lt;'Adj-Gilts'!$B$10,'E-Gilts'!N179," ")</f>
        <v xml:space="preserve"> </v>
      </c>
      <c r="L179" s="122" t="str">
        <f>IF('E-Gilts'!A179&lt;'Adj-Gilts'!$B$10,'E-Gilts'!K179," ")</f>
        <v xml:space="preserve"> </v>
      </c>
      <c r="M179" t="str">
        <f>IF('E-Gilts'!A179&lt;'Adj-Gilts'!$B$10,'E-Gilts'!M179," ")</f>
        <v xml:space="preserve"> </v>
      </c>
      <c r="N179" s="30" t="str">
        <f>IF('E-Gilts'!A179&lt;'Adj-Gilts'!$B$10,1/L179," ")</f>
        <v xml:space="preserve"> </v>
      </c>
      <c r="P179" s="31" t="str">
        <f t="shared" si="9"/>
        <v/>
      </c>
      <c r="Q179" s="31" t="str">
        <f t="shared" si="10"/>
        <v/>
      </c>
      <c r="R179" s="31" t="str">
        <f t="shared" si="11"/>
        <v/>
      </c>
    </row>
    <row r="180" spans="1:18" x14ac:dyDescent="0.25">
      <c r="A180" s="28" t="str">
        <f>IF('E-Gilts'!A180&lt;'Adj-Gilts'!$B$10,'E-Gilts'!B180," ")</f>
        <v xml:space="preserve"> </v>
      </c>
      <c r="B180" s="26" t="str">
        <f>IF('E-Gilts'!A180&lt;'Adj-Gilts'!$B$10,'E-Gilts'!A180," ")</f>
        <v xml:space="preserve"> </v>
      </c>
      <c r="C180" s="26" t="str">
        <f>IF('E-Gilts'!A180&lt;'Adj-Gilts'!$B$10,'E-Gilts'!C180," ")</f>
        <v xml:space="preserve"> </v>
      </c>
      <c r="D180" s="28" t="str">
        <f>IF('E-Gilts'!A180&lt;'Adj-Gilts'!$B$10,'E-Gilts'!G180," ")</f>
        <v xml:space="preserve"> </v>
      </c>
      <c r="E180" s="27" t="str">
        <f>IF('E-Gilts'!A180&lt;'Adj-Gilts'!$B$10,'E-Gilts'!D180," ")</f>
        <v xml:space="preserve"> </v>
      </c>
      <c r="F180" s="27"/>
      <c r="G180" s="92" t="str">
        <f t="shared" si="8"/>
        <v xml:space="preserve"> </v>
      </c>
      <c r="H180" s="28" t="str">
        <f>IF('E-Gilts'!A180&lt;'Adj-Gilts'!$B$10,'E-Gilts'!I180," ")</f>
        <v xml:space="preserve"> </v>
      </c>
      <c r="I180" s="126" t="str">
        <f>IF('E-Gilts'!A180&lt;'Adj-Gilts'!$B$10,'E-Gilts'!A180," ")</f>
        <v xml:space="preserve"> </v>
      </c>
      <c r="J180" s="26" t="str">
        <f>IF('E-Gilts'!A180&lt;'Adj-Gilts'!$B$10,'E-Gilts'!J180," ")</f>
        <v xml:space="preserve"> </v>
      </c>
      <c r="K180" s="28" t="str">
        <f>IF('E-Gilts'!A180&lt;'Adj-Gilts'!$B$10,'E-Gilts'!N180," ")</f>
        <v xml:space="preserve"> </v>
      </c>
      <c r="L180" s="122" t="str">
        <f>IF('E-Gilts'!A180&lt;'Adj-Gilts'!$B$10,'E-Gilts'!K180," ")</f>
        <v xml:space="preserve"> </v>
      </c>
      <c r="M180" t="str">
        <f>IF('E-Gilts'!A180&lt;'Adj-Gilts'!$B$10,'E-Gilts'!M180," ")</f>
        <v xml:space="preserve"> </v>
      </c>
      <c r="N180" s="30" t="str">
        <f>IF('E-Gilts'!A180&lt;'Adj-Gilts'!$B$10,1/L180," ")</f>
        <v xml:space="preserve"> </v>
      </c>
      <c r="P180" s="31" t="str">
        <f t="shared" si="9"/>
        <v/>
      </c>
      <c r="Q180" s="31" t="str">
        <f t="shared" si="10"/>
        <v/>
      </c>
      <c r="R180" s="31" t="str">
        <f t="shared" si="11"/>
        <v/>
      </c>
    </row>
    <row r="181" spans="1:18" x14ac:dyDescent="0.25">
      <c r="A181" s="28" t="str">
        <f>IF('E-Gilts'!A181&lt;'Adj-Gilts'!$B$10,'E-Gilts'!B181," ")</f>
        <v xml:space="preserve"> </v>
      </c>
      <c r="B181" s="26" t="str">
        <f>IF('E-Gilts'!A181&lt;'Adj-Gilts'!$B$10,'E-Gilts'!A181," ")</f>
        <v xml:space="preserve"> </v>
      </c>
      <c r="C181" s="26" t="str">
        <f>IF('E-Gilts'!A181&lt;'Adj-Gilts'!$B$10,'E-Gilts'!C181," ")</f>
        <v xml:space="preserve"> </v>
      </c>
      <c r="D181" s="28" t="str">
        <f>IF('E-Gilts'!A181&lt;'Adj-Gilts'!$B$10,'E-Gilts'!G181," ")</f>
        <v xml:space="preserve"> </v>
      </c>
      <c r="E181" s="27" t="str">
        <f>IF('E-Gilts'!A181&lt;'Adj-Gilts'!$B$10,'E-Gilts'!D181," ")</f>
        <v xml:space="preserve"> </v>
      </c>
      <c r="F181" s="27"/>
      <c r="G181" s="92" t="str">
        <f t="shared" si="8"/>
        <v xml:space="preserve"> </v>
      </c>
      <c r="H181" s="28" t="str">
        <f>IF('E-Gilts'!A181&lt;'Adj-Gilts'!$B$10,'E-Gilts'!I181," ")</f>
        <v xml:space="preserve"> </v>
      </c>
      <c r="I181" s="126" t="str">
        <f>IF('E-Gilts'!A181&lt;'Adj-Gilts'!$B$10,'E-Gilts'!A181," ")</f>
        <v xml:space="preserve"> </v>
      </c>
      <c r="J181" s="26" t="str">
        <f>IF('E-Gilts'!A181&lt;'Adj-Gilts'!$B$10,'E-Gilts'!J181," ")</f>
        <v xml:space="preserve"> </v>
      </c>
      <c r="K181" s="28" t="str">
        <f>IF('E-Gilts'!A181&lt;'Adj-Gilts'!$B$10,'E-Gilts'!N181," ")</f>
        <v xml:space="preserve"> </v>
      </c>
      <c r="L181" s="122" t="str">
        <f>IF('E-Gilts'!A181&lt;'Adj-Gilts'!$B$10,'E-Gilts'!K181," ")</f>
        <v xml:space="preserve"> </v>
      </c>
      <c r="M181" t="str">
        <f>IF('E-Gilts'!A181&lt;'Adj-Gilts'!$B$10,'E-Gilts'!M181," ")</f>
        <v xml:space="preserve"> </v>
      </c>
      <c r="N181" s="30" t="str">
        <f>IF('E-Gilts'!A181&lt;'Adj-Gilts'!$B$10,1/L181," ")</f>
        <v xml:space="preserve"> </v>
      </c>
      <c r="P181" s="31" t="str">
        <f t="shared" si="9"/>
        <v/>
      </c>
      <c r="Q181" s="31" t="str">
        <f t="shared" si="10"/>
        <v/>
      </c>
      <c r="R181" s="31" t="str">
        <f t="shared" si="11"/>
        <v/>
      </c>
    </row>
    <row r="182" spans="1:18" x14ac:dyDescent="0.25">
      <c r="A182" s="28" t="str">
        <f>IF('E-Gilts'!A182&lt;'Adj-Gilts'!$B$10,'E-Gilts'!B182," ")</f>
        <v xml:space="preserve"> </v>
      </c>
      <c r="B182" s="26" t="str">
        <f>IF('E-Gilts'!A182&lt;'Adj-Gilts'!$B$10,'E-Gilts'!A182," ")</f>
        <v xml:space="preserve"> </v>
      </c>
      <c r="C182" s="26" t="str">
        <f>IF('E-Gilts'!A182&lt;'Adj-Gilts'!$B$10,'E-Gilts'!C182," ")</f>
        <v xml:space="preserve"> </v>
      </c>
      <c r="D182" s="28" t="str">
        <f>IF('E-Gilts'!A182&lt;'Adj-Gilts'!$B$10,'E-Gilts'!G182," ")</f>
        <v xml:space="preserve"> </v>
      </c>
      <c r="E182" s="27" t="str">
        <f>IF('E-Gilts'!A182&lt;'Adj-Gilts'!$B$10,'E-Gilts'!D182," ")</f>
        <v xml:space="preserve"> </v>
      </c>
      <c r="F182" s="27"/>
      <c r="G182" s="92" t="str">
        <f t="shared" si="8"/>
        <v xml:space="preserve"> </v>
      </c>
      <c r="H182" s="28" t="str">
        <f>IF('E-Gilts'!A182&lt;'Adj-Gilts'!$B$10,'E-Gilts'!I182," ")</f>
        <v xml:space="preserve"> </v>
      </c>
      <c r="I182" s="126" t="str">
        <f>IF('E-Gilts'!A182&lt;'Adj-Gilts'!$B$10,'E-Gilts'!A182," ")</f>
        <v xml:space="preserve"> </v>
      </c>
      <c r="J182" s="26" t="str">
        <f>IF('E-Gilts'!A182&lt;'Adj-Gilts'!$B$10,'E-Gilts'!J182," ")</f>
        <v xml:space="preserve"> </v>
      </c>
      <c r="K182" s="28" t="str">
        <f>IF('E-Gilts'!A182&lt;'Adj-Gilts'!$B$10,'E-Gilts'!N182," ")</f>
        <v xml:space="preserve"> </v>
      </c>
      <c r="L182" s="122" t="str">
        <f>IF('E-Gilts'!A182&lt;'Adj-Gilts'!$B$10,'E-Gilts'!K182," ")</f>
        <v xml:space="preserve"> </v>
      </c>
      <c r="M182" t="str">
        <f>IF('E-Gilts'!A182&lt;'Adj-Gilts'!$B$10,'E-Gilts'!M182," ")</f>
        <v xml:space="preserve"> </v>
      </c>
      <c r="N182" s="30" t="str">
        <f>IF('E-Gilts'!A182&lt;'Adj-Gilts'!$B$10,1/L182," ")</f>
        <v xml:space="preserve"> </v>
      </c>
      <c r="P182" s="31" t="str">
        <f t="shared" si="9"/>
        <v/>
      </c>
      <c r="Q182" s="31" t="str">
        <f t="shared" si="10"/>
        <v/>
      </c>
      <c r="R182" s="31" t="str">
        <f t="shared" si="11"/>
        <v/>
      </c>
    </row>
    <row r="183" spans="1:18" x14ac:dyDescent="0.25">
      <c r="A183" s="28" t="str">
        <f>IF('E-Gilts'!A183&lt;'Adj-Gilts'!$B$10,'E-Gilts'!B183," ")</f>
        <v xml:space="preserve"> </v>
      </c>
      <c r="B183" s="26" t="str">
        <f>IF('E-Gilts'!A183&lt;'Adj-Gilts'!$B$10,'E-Gilts'!A183," ")</f>
        <v xml:space="preserve"> </v>
      </c>
      <c r="C183" s="26" t="str">
        <f>IF('E-Gilts'!A183&lt;'Adj-Gilts'!$B$10,'E-Gilts'!C183," ")</f>
        <v xml:space="preserve"> </v>
      </c>
      <c r="D183" s="28" t="str">
        <f>IF('E-Gilts'!A183&lt;'Adj-Gilts'!$B$10,'E-Gilts'!G183," ")</f>
        <v xml:space="preserve"> </v>
      </c>
      <c r="E183" s="27" t="str">
        <f>IF('E-Gilts'!A183&lt;'Adj-Gilts'!$B$10,'E-Gilts'!D183," ")</f>
        <v xml:space="preserve"> </v>
      </c>
      <c r="F183" s="27"/>
      <c r="G183" s="92" t="str">
        <f t="shared" si="8"/>
        <v xml:space="preserve"> </v>
      </c>
      <c r="H183" s="28" t="str">
        <f>IF('E-Gilts'!A183&lt;'Adj-Gilts'!$B$10,'E-Gilts'!I183," ")</f>
        <v xml:space="preserve"> </v>
      </c>
      <c r="I183" s="126" t="str">
        <f>IF('E-Gilts'!A183&lt;'Adj-Gilts'!$B$10,'E-Gilts'!A183," ")</f>
        <v xml:space="preserve"> </v>
      </c>
      <c r="J183" s="26" t="str">
        <f>IF('E-Gilts'!A183&lt;'Adj-Gilts'!$B$10,'E-Gilts'!J183," ")</f>
        <v xml:space="preserve"> </v>
      </c>
      <c r="K183" s="28" t="str">
        <f>IF('E-Gilts'!A183&lt;'Adj-Gilts'!$B$10,'E-Gilts'!N183," ")</f>
        <v xml:space="preserve"> </v>
      </c>
      <c r="L183" s="122" t="str">
        <f>IF('E-Gilts'!A183&lt;'Adj-Gilts'!$B$10,'E-Gilts'!K183," ")</f>
        <v xml:space="preserve"> </v>
      </c>
      <c r="M183" t="str">
        <f>IF('E-Gilts'!A183&lt;'Adj-Gilts'!$B$10,'E-Gilts'!M183," ")</f>
        <v xml:space="preserve"> </v>
      </c>
      <c r="N183" s="30" t="str">
        <f>IF('E-Gilts'!A183&lt;'Adj-Gilts'!$B$10,1/L183," ")</f>
        <v xml:space="preserve"> </v>
      </c>
      <c r="P183" s="31" t="str">
        <f t="shared" si="9"/>
        <v/>
      </c>
      <c r="Q183" s="31" t="str">
        <f t="shared" si="10"/>
        <v/>
      </c>
      <c r="R183" s="31" t="str">
        <f t="shared" si="11"/>
        <v/>
      </c>
    </row>
    <row r="184" spans="1:18" x14ac:dyDescent="0.25">
      <c r="A184" s="28" t="str">
        <f>IF('E-Gilts'!A184&lt;'Adj-Gilts'!$B$10,'E-Gilts'!B184," ")</f>
        <v xml:space="preserve"> </v>
      </c>
      <c r="B184" s="26" t="str">
        <f>IF('E-Gilts'!A184&lt;'Adj-Gilts'!$B$10,'E-Gilts'!A184," ")</f>
        <v xml:space="preserve"> </v>
      </c>
      <c r="C184" s="26" t="str">
        <f>IF('E-Gilts'!A184&lt;'Adj-Gilts'!$B$10,'E-Gilts'!C184," ")</f>
        <v xml:space="preserve"> </v>
      </c>
      <c r="D184" s="28" t="str">
        <f>IF('E-Gilts'!A184&lt;'Adj-Gilts'!$B$10,'E-Gilts'!G184," ")</f>
        <v xml:space="preserve"> </v>
      </c>
      <c r="E184" s="27" t="str">
        <f>IF('E-Gilts'!A184&lt;'Adj-Gilts'!$B$10,'E-Gilts'!D184," ")</f>
        <v xml:space="preserve"> </v>
      </c>
      <c r="F184" s="27"/>
      <c r="G184" s="92" t="str">
        <f t="shared" si="8"/>
        <v xml:space="preserve"> </v>
      </c>
      <c r="H184" s="28" t="str">
        <f>IF('E-Gilts'!A184&lt;'Adj-Gilts'!$B$10,'E-Gilts'!I184," ")</f>
        <v xml:space="preserve"> </v>
      </c>
      <c r="I184" s="126" t="str">
        <f>IF('E-Gilts'!A184&lt;'Adj-Gilts'!$B$10,'E-Gilts'!A184," ")</f>
        <v xml:space="preserve"> </v>
      </c>
      <c r="J184" s="26" t="str">
        <f>IF('E-Gilts'!A184&lt;'Adj-Gilts'!$B$10,'E-Gilts'!J184," ")</f>
        <v xml:space="preserve"> </v>
      </c>
      <c r="K184" s="28" t="str">
        <f>IF('E-Gilts'!A184&lt;'Adj-Gilts'!$B$10,'E-Gilts'!N184," ")</f>
        <v xml:space="preserve"> </v>
      </c>
      <c r="L184" s="122" t="str">
        <f>IF('E-Gilts'!A184&lt;'Adj-Gilts'!$B$10,'E-Gilts'!K184," ")</f>
        <v xml:space="preserve"> </v>
      </c>
      <c r="M184" t="str">
        <f>IF('E-Gilts'!A184&lt;'Adj-Gilts'!$B$10,'E-Gilts'!M184," ")</f>
        <v xml:space="preserve"> </v>
      </c>
      <c r="N184" s="30" t="str">
        <f>IF('E-Gilts'!A184&lt;'Adj-Gilts'!$B$10,1/L184," ")</f>
        <v xml:space="preserve"> </v>
      </c>
      <c r="P184" s="31" t="str">
        <f t="shared" si="9"/>
        <v/>
      </c>
      <c r="Q184" s="31" t="str">
        <f t="shared" si="10"/>
        <v/>
      </c>
      <c r="R184" s="31" t="str">
        <f t="shared" si="11"/>
        <v/>
      </c>
    </row>
    <row r="185" spans="1:18" x14ac:dyDescent="0.25">
      <c r="A185" s="28" t="str">
        <f>IF('E-Gilts'!A185&lt;'Adj-Gilts'!$B$10,'E-Gilts'!B185," ")</f>
        <v xml:space="preserve"> </v>
      </c>
      <c r="B185" s="26" t="str">
        <f>IF('E-Gilts'!A185&lt;'Adj-Gilts'!$B$10,'E-Gilts'!A185," ")</f>
        <v xml:space="preserve"> </v>
      </c>
      <c r="C185" s="26" t="str">
        <f>IF('E-Gilts'!A185&lt;'Adj-Gilts'!$B$10,'E-Gilts'!C185," ")</f>
        <v xml:space="preserve"> </v>
      </c>
      <c r="D185" s="28" t="str">
        <f>IF('E-Gilts'!A185&lt;'Adj-Gilts'!$B$10,'E-Gilts'!G185," ")</f>
        <v xml:space="preserve"> </v>
      </c>
      <c r="E185" s="27" t="str">
        <f>IF('E-Gilts'!A185&lt;'Adj-Gilts'!$B$10,'E-Gilts'!D185," ")</f>
        <v xml:space="preserve"> </v>
      </c>
      <c r="F185" s="27"/>
      <c r="G185" s="92" t="str">
        <f t="shared" si="8"/>
        <v xml:space="preserve"> </v>
      </c>
      <c r="H185" s="28" t="str">
        <f>IF('E-Gilts'!A185&lt;'Adj-Gilts'!$B$10,'E-Gilts'!I185," ")</f>
        <v xml:space="preserve"> </v>
      </c>
      <c r="I185" s="126" t="str">
        <f>IF('E-Gilts'!A185&lt;'Adj-Gilts'!$B$10,'E-Gilts'!A185," ")</f>
        <v xml:space="preserve"> </v>
      </c>
      <c r="J185" s="26" t="str">
        <f>IF('E-Gilts'!A185&lt;'Adj-Gilts'!$B$10,'E-Gilts'!J185," ")</f>
        <v xml:space="preserve"> </v>
      </c>
      <c r="K185" s="28" t="str">
        <f>IF('E-Gilts'!A185&lt;'Adj-Gilts'!$B$10,'E-Gilts'!N185," ")</f>
        <v xml:space="preserve"> </v>
      </c>
      <c r="L185" s="122" t="str">
        <f>IF('E-Gilts'!A185&lt;'Adj-Gilts'!$B$10,'E-Gilts'!K185," ")</f>
        <v xml:space="preserve"> </v>
      </c>
      <c r="M185" t="str">
        <f>IF('E-Gilts'!A185&lt;'Adj-Gilts'!$B$10,'E-Gilts'!M185," ")</f>
        <v xml:space="preserve"> </v>
      </c>
      <c r="N185" s="30" t="str">
        <f>IF('E-Gilts'!A185&lt;'Adj-Gilts'!$B$10,1/L185," ")</f>
        <v xml:space="preserve"> </v>
      </c>
      <c r="P185" s="31" t="str">
        <f t="shared" si="9"/>
        <v/>
      </c>
      <c r="Q185" s="31" t="str">
        <f t="shared" si="10"/>
        <v/>
      </c>
      <c r="R185" s="31" t="str">
        <f t="shared" si="11"/>
        <v/>
      </c>
    </row>
  </sheetData>
  <mergeCells count="2">
    <mergeCell ref="A1:E1"/>
    <mergeCell ref="H1:L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58EDF-B747-408E-9021-B40F49A23884}">
  <sheetPr codeName="Sheet16"/>
  <dimension ref="A1:R185"/>
  <sheetViews>
    <sheetView zoomScale="90" zoomScaleNormal="90" workbookViewId="0">
      <selection activeCell="G5" sqref="G5"/>
    </sheetView>
  </sheetViews>
  <sheetFormatPr defaultRowHeight="15" x14ac:dyDescent="0.25"/>
  <cols>
    <col min="1" max="1" width="20.7109375" customWidth="1"/>
    <col min="2" max="2" width="12.5703125" customWidth="1"/>
    <col min="3" max="4" width="20.7109375" customWidth="1"/>
    <col min="5" max="6" width="15.85546875" customWidth="1"/>
    <col min="8" max="8" width="20.7109375" customWidth="1"/>
    <col min="9" max="9" width="12.5703125" customWidth="1"/>
    <col min="10" max="11" width="20.7109375" customWidth="1"/>
    <col min="12" max="12" width="15.85546875" customWidth="1"/>
    <col min="18" max="18" width="9.42578125" bestFit="1" customWidth="1"/>
  </cols>
  <sheetData>
    <row r="1" spans="1:18" x14ac:dyDescent="0.25">
      <c r="A1" s="234" t="str">
        <f>'E-Barrows'!B1&amp;" - "&amp;'E-Barrows'!C1</f>
        <v>Barrows - High energy diet</v>
      </c>
      <c r="B1" s="234"/>
      <c r="C1" s="234"/>
      <c r="D1" s="234"/>
      <c r="E1" s="234"/>
      <c r="F1" s="162"/>
      <c r="H1" s="235" t="str">
        <f>'E-Barrows'!I1&amp;" - "&amp;'E-Barrows'!J1</f>
        <v xml:space="preserve">Barrows - Client </v>
      </c>
      <c r="I1" s="235"/>
      <c r="J1" s="235"/>
      <c r="K1" s="235"/>
      <c r="L1" s="235"/>
    </row>
    <row r="2" spans="1:18" x14ac:dyDescent="0.25">
      <c r="A2" s="132" t="str">
        <f>'E-Barrows'!B2</f>
        <v>Body Weight, kg</v>
      </c>
      <c r="B2" s="132" t="str">
        <f>'E-Barrows'!A2</f>
        <v>Age, d</v>
      </c>
      <c r="C2" s="132" t="str">
        <f>'E-Barrows'!C2</f>
        <v>Est. ADG, g/d</v>
      </c>
      <c r="D2" s="132" t="str">
        <f>'E-Barrows'!G2</f>
        <v>Ac. Feed intake, kg</v>
      </c>
      <c r="E2" s="132" t="str">
        <f>'E-Barrows'!D2</f>
        <v>Est. G:F</v>
      </c>
      <c r="F2" s="163"/>
      <c r="G2" t="s">
        <v>13</v>
      </c>
      <c r="H2" s="120" t="str">
        <f>A2</f>
        <v>Body Weight, kg</v>
      </c>
      <c r="I2" s="120" t="str">
        <f>B2</f>
        <v>Age, d</v>
      </c>
      <c r="J2" s="120" t="str">
        <f>C2</f>
        <v>Est. ADG, g/d</v>
      </c>
      <c r="K2" s="120" t="str">
        <f>D2</f>
        <v>Ac. Feed intake, kg</v>
      </c>
      <c r="L2" s="120" t="str">
        <f>E2</f>
        <v>Est. G:F</v>
      </c>
      <c r="M2" t="s">
        <v>95</v>
      </c>
      <c r="N2" t="s">
        <v>96</v>
      </c>
      <c r="P2" t="s">
        <v>65</v>
      </c>
      <c r="Q2" t="s">
        <v>106</v>
      </c>
      <c r="R2" t="s">
        <v>107</v>
      </c>
    </row>
    <row r="3" spans="1:18" x14ac:dyDescent="0.25">
      <c r="A3" s="28">
        <f>IF('E-Barrows'!A3&lt;'Adj-Barrows'!$B$10,'E-Barrows'!B3," ")</f>
        <v>5.9087078991238675</v>
      </c>
      <c r="B3" s="26">
        <f>IF('E-Barrows'!A3&lt;'Adj-Barrows'!$B$10,'E-Barrows'!A3," ")</f>
        <v>21</v>
      </c>
      <c r="G3" s="92">
        <f>IFERROR(I3,"")</f>
        <v>21</v>
      </c>
      <c r="H3" s="28">
        <f>IF('E-Barrows'!A3&lt;'Adj-Barrows'!$B$10,'E-Barrows'!I3," ")</f>
        <v>5.9425449780322959</v>
      </c>
      <c r="I3" s="24">
        <f>IF('E-Barrows'!A3&lt;'Adj-Barrows'!$B$10,'E-Barrows'!A3," ")</f>
        <v>21</v>
      </c>
      <c r="K3" s="28"/>
      <c r="M3" s="19"/>
      <c r="N3" s="19"/>
      <c r="O3" s="19"/>
      <c r="R3" s="31">
        <f>IFERROR(IF(H3&lt;0,"",CONVERT(H3,"kg", "lbm")),"")</f>
        <v>13.101069089923836</v>
      </c>
    </row>
    <row r="4" spans="1:18" x14ac:dyDescent="0.25">
      <c r="A4" s="28">
        <f>IF('E-Barrows'!A4&lt;'Adj-Barrows'!$B$10,'E-Barrows'!B4," ")</f>
        <v>5.9891330030800756</v>
      </c>
      <c r="B4" s="26">
        <f>IF('E-Barrows'!A4&lt;'Adj-Barrows'!$B$10,'E-Barrows'!A4," ")</f>
        <v>22</v>
      </c>
      <c r="C4" s="26">
        <f>IF('E-Barrows'!A4&lt;'Adj-Barrows'!$B$10,'E-Barrows'!C4," ")</f>
        <v>80.425103956208062</v>
      </c>
      <c r="D4" s="28">
        <f>IF('E-Barrows'!A4&lt;'Adj-Barrows'!$B$10,'E-Barrows'!G4," ")</f>
        <v>8.0157307941816774E-2</v>
      </c>
      <c r="E4" s="27">
        <f>IF('E-Barrows'!A4&lt;'Adj-Barrows'!$B$10,'E-Barrows'!D4," ")</f>
        <v>1.0033408808412787</v>
      </c>
      <c r="F4" s="27"/>
      <c r="G4" s="92">
        <f>IFERROR(I4,"")</f>
        <v>22</v>
      </c>
      <c r="H4" s="28">
        <f>IF('E-Barrows'!A4&lt;'Adj-Barrows'!$B$10,'E-Barrows'!I4," ")</f>
        <v>6.0312043586488446</v>
      </c>
      <c r="I4" s="24">
        <f>IF('E-Barrows'!A4&lt;'Adj-Barrows'!$B$10,'E-Barrows'!A4," ")</f>
        <v>22</v>
      </c>
      <c r="J4" s="26">
        <f>IF('E-Barrows'!A4&lt;'Adj-Barrows'!$B$10,'E-Barrows'!J4," ")</f>
        <v>88.659380616548404</v>
      </c>
      <c r="K4" s="28">
        <f>IF('E-Barrows'!A4&lt;'Adj-Barrows'!$B$10,'E-Barrows'!N4," ")</f>
        <v>9.9530530769099387E-2</v>
      </c>
      <c r="L4" s="27">
        <f>IF('E-Barrows'!A4&lt;'Adj-Barrows'!$B$10,'E-Barrows'!K4," ")</f>
        <v>0.89077572410649619</v>
      </c>
      <c r="M4" s="28">
        <f>IF('E-Barrows'!A4&lt;'Adj-Barrows'!$B$10,'E-Barrows'!M4," ")</f>
        <v>9.9530530769099387E-2</v>
      </c>
      <c r="N4" s="30">
        <f>IF('E-Barrows'!A4&lt;'Adj-Barrows'!$B$10,1/L4," ")</f>
        <v>1.1226170324781388</v>
      </c>
      <c r="O4" s="19"/>
      <c r="P4" s="31">
        <f>IFERROR(IF(J4&lt;0,"",CONVERT(J4,"g", "lbm")),"")</f>
        <v>0.19546047614634346</v>
      </c>
      <c r="Q4" s="31">
        <f>IFERROR(IF(M4&lt;0,"",CONVERT(M4,"kg", "lbm")),"")</f>
        <v>0.21942725969817214</v>
      </c>
      <c r="R4" s="31">
        <f t="shared" ref="R4" si="0">IFERROR(IF(H4&lt;0,"",CONVERT(H4,"kg", "lbm")),"")</f>
        <v>13.296529566070181</v>
      </c>
    </row>
    <row r="5" spans="1:18" x14ac:dyDescent="0.25">
      <c r="A5" s="28">
        <f>IF('E-Barrows'!A5&lt;'Adj-Barrows'!$B$10,'E-Barrows'!B5," ")</f>
        <v>6.0930835001842407</v>
      </c>
      <c r="B5" s="26">
        <f>IF('E-Barrows'!A5&lt;'Adj-Barrows'!$B$10,'E-Barrows'!A5," ")</f>
        <v>23</v>
      </c>
      <c r="C5" s="26">
        <f>IF('E-Barrows'!A5&lt;'Adj-Barrows'!$B$10,'E-Barrows'!C5," ")</f>
        <v>103.95049710416515</v>
      </c>
      <c r="D5" s="28">
        <f>IF('E-Barrows'!A5&lt;'Adj-Barrows'!$B$10,'E-Barrows'!G5," ")</f>
        <v>0.18476754284362074</v>
      </c>
      <c r="E5" s="27">
        <f>IF('E-Barrows'!A5&lt;'Adj-Barrows'!$B$10,'E-Barrows'!D5," ")</f>
        <v>0.99369337237166022</v>
      </c>
      <c r="F5" s="27"/>
      <c r="G5" s="92">
        <f t="shared" ref="G5:G67" si="1">IFERROR(I5,"")</f>
        <v>23</v>
      </c>
      <c r="H5" s="28">
        <f>IF('E-Barrows'!A5&lt;'Adj-Barrows'!$B$10,'E-Barrows'!I5," ")</f>
        <v>6.1457977658647787</v>
      </c>
      <c r="I5" s="24">
        <f>IF('E-Barrows'!A5&lt;'Adj-Barrows'!$B$10,'E-Barrows'!A5," ")</f>
        <v>23</v>
      </c>
      <c r="J5" s="26">
        <f>IF('E-Barrows'!A5&lt;'Adj-Barrows'!$B$10,'E-Barrows'!J5," ")</f>
        <v>114.59340721593419</v>
      </c>
      <c r="K5" s="28">
        <f>IF('E-Barrows'!A5&lt;'Adj-Barrows'!$B$10,'E-Barrows'!N5," ")</f>
        <v>0.22942401735193646</v>
      </c>
      <c r="L5" s="27">
        <f>IF('E-Barrows'!A5&lt;'Adj-Barrows'!$B$10,'E-Barrows'!K5," ")</f>
        <v>0.88221057291317262</v>
      </c>
      <c r="M5" s="28">
        <f>IF('E-Barrows'!A5&lt;'Adj-Barrows'!$B$10,'E-Barrows'!M5," ")</f>
        <v>0.12989348658283709</v>
      </c>
      <c r="N5" s="30">
        <f>IF('E-Barrows'!A5&lt;'Adj-Barrows'!$B$10,1/L5," ")</f>
        <v>1.1335162269682073</v>
      </c>
      <c r="O5" s="19"/>
      <c r="P5" s="31">
        <f t="shared" ref="P5:P68" si="2">IFERROR(IF(J5&lt;0,"",CONVERT(J5,"g", "lbm")),"")</f>
        <v>0.25263521786297727</v>
      </c>
      <c r="Q5" s="31">
        <f t="shared" ref="Q5:Q68" si="3">IFERROR(IF(M5&lt;0,"",CONVERT(M5,"kg", "lbm")),"")</f>
        <v>0.28636611895133307</v>
      </c>
      <c r="R5" s="31">
        <f t="shared" ref="R5:R68" si="4">IFERROR(IF(H5&lt;0,"",CONVERT(H5,"kg", "lbm")),"")</f>
        <v>13.549164783933158</v>
      </c>
    </row>
    <row r="6" spans="1:18" x14ac:dyDescent="0.25">
      <c r="A6" s="28">
        <f>IF('E-Barrows'!A6&lt;'Adj-Barrows'!$B$10,'E-Barrows'!B6," ")</f>
        <v>6.2199992620280762</v>
      </c>
      <c r="B6" s="26">
        <f>IF('E-Barrows'!A6&lt;'Adj-Barrows'!$B$10,'E-Barrows'!A6," ")</f>
        <v>24</v>
      </c>
      <c r="C6" s="26">
        <f>IF('E-Barrows'!A6&lt;'Adj-Barrows'!$B$10,'E-Barrows'!C6," ")</f>
        <v>126.91576184383547</v>
      </c>
      <c r="D6" s="28">
        <f>IF('E-Barrows'!A6&lt;'Adj-Barrows'!$B$10,'E-Barrows'!G6," ")</f>
        <v>0.31371688402911713</v>
      </c>
      <c r="E6" s="27">
        <f>IF('E-Barrows'!A6&lt;'Adj-Barrows'!$B$10,'E-Barrows'!D6," ")</f>
        <v>0.98422962596811137</v>
      </c>
      <c r="F6" s="27"/>
      <c r="G6" s="92">
        <f t="shared" si="1"/>
        <v>24</v>
      </c>
      <c r="H6" s="28">
        <f>IF('E-Barrows'!A6&lt;'Adj-Barrows'!$B$10,'E-Barrows'!I6," ")</f>
        <v>6.2857077228563014</v>
      </c>
      <c r="I6" s="24">
        <f>IF('E-Barrows'!A6&lt;'Adj-Barrows'!$B$10,'E-Barrows'!A6," ")</f>
        <v>24</v>
      </c>
      <c r="J6" s="26">
        <f>IF('E-Barrows'!A6&lt;'Adj-Barrows'!$B$10,'E-Barrows'!J6," ")</f>
        <v>139.90995699152279</v>
      </c>
      <c r="K6" s="28">
        <f>IF('E-Barrows'!A6&lt;'Adj-Barrows'!$B$10,'E-Barrows'!N6," ")</f>
        <v>0.38953912974860216</v>
      </c>
      <c r="L6" s="27">
        <f>IF('E-Barrows'!A6&lt;'Adj-Barrows'!$B$10,'E-Barrows'!K6," ")</f>
        <v>0.87380856745684854</v>
      </c>
      <c r="M6" s="28">
        <f>IF('E-Barrows'!A6&lt;'Adj-Barrows'!$B$10,'E-Barrows'!M6," ")</f>
        <v>0.16011511239666573</v>
      </c>
      <c r="N6" s="30">
        <f>IF('E-Barrows'!A6&lt;'Adj-Barrows'!$B$10,1/L6," ")</f>
        <v>1.1444154214582969</v>
      </c>
      <c r="O6" s="19"/>
      <c r="P6" s="31">
        <f t="shared" si="2"/>
        <v>0.30844865620540041</v>
      </c>
      <c r="Q6" s="31">
        <f t="shared" si="3"/>
        <v>0.35299339888954862</v>
      </c>
      <c r="R6" s="31">
        <f t="shared" si="4"/>
        <v>13.857613440138557</v>
      </c>
    </row>
    <row r="7" spans="1:18" x14ac:dyDescent="0.25">
      <c r="A7" s="28">
        <f>IF('E-Barrows'!A7&lt;'Adj-Barrows'!$B$10,'E-Barrows'!B7," ")</f>
        <v>6.3693201602032996</v>
      </c>
      <c r="B7" s="26">
        <f>IF('E-Barrows'!A7&lt;'Adj-Barrows'!$B$10,'E-Barrows'!A7," ")</f>
        <v>25</v>
      </c>
      <c r="C7" s="26">
        <f>IF('E-Barrows'!A7&lt;'Adj-Barrows'!$B$10,'E-Barrows'!C7," ")</f>
        <v>149.32089817522342</v>
      </c>
      <c r="D7" s="28">
        <f>IF('E-Barrows'!A7&lt;'Adj-Barrows'!$B$10,'E-Barrows'!G7," ")</f>
        <v>0.46687525072539759</v>
      </c>
      <c r="E7" s="27">
        <f>IF('E-Barrows'!A7&lt;'Adj-Barrows'!$B$10,'E-Barrows'!D7," ")</f>
        <v>0.97494444081747833</v>
      </c>
      <c r="F7" s="27"/>
      <c r="G7" s="92">
        <f t="shared" si="1"/>
        <v>25</v>
      </c>
      <c r="H7" s="28">
        <f>IF('E-Barrows'!A7&lt;'Adj-Barrows'!$B$10,'E-Barrows'!I7," ")</f>
        <v>6.4503167527996208</v>
      </c>
      <c r="I7" s="24">
        <f>IF('E-Barrows'!A7&lt;'Adj-Barrows'!$B$10,'E-Barrows'!A7," ")</f>
        <v>25</v>
      </c>
      <c r="J7" s="26">
        <f>IF('E-Barrows'!A7&lt;'Adj-Barrows'!$B$10,'E-Barrows'!J7," ")</f>
        <v>164.60902994331906</v>
      </c>
      <c r="K7" s="28">
        <f>IF('E-Barrows'!A7&lt;'Adj-Barrows'!$B$10,'E-Barrows'!N7," ")</f>
        <v>0.57971434795920063</v>
      </c>
      <c r="L7" s="27">
        <f>IF('E-Barrows'!A7&lt;'Adj-Barrows'!$B$10,'E-Barrows'!K7," ")</f>
        <v>0.86556509040537732</v>
      </c>
      <c r="M7" s="28">
        <f>IF('E-Barrows'!A7&lt;'Adj-Barrows'!$B$10,'E-Barrows'!M7," ")</f>
        <v>0.19017521821059849</v>
      </c>
      <c r="N7" s="30">
        <f>IF('E-Barrows'!A7&lt;'Adj-Barrows'!$B$10,1/L7," ")</f>
        <v>1.1553146159483647</v>
      </c>
      <c r="O7" s="19"/>
      <c r="P7" s="31">
        <f t="shared" si="2"/>
        <v>0.36290079117362367</v>
      </c>
      <c r="Q7" s="31">
        <f t="shared" si="3"/>
        <v>0.41926458818211271</v>
      </c>
      <c r="R7" s="31">
        <f t="shared" si="4"/>
        <v>14.220514231312182</v>
      </c>
    </row>
    <row r="8" spans="1:18" x14ac:dyDescent="0.25">
      <c r="A8" s="28">
        <f>IF('E-Barrows'!A8&lt;'Adj-Barrows'!$B$10,'E-Barrows'!B8," ")</f>
        <v>6.5404860663016251</v>
      </c>
      <c r="B8" s="26">
        <f>IF('E-Barrows'!A8&lt;'Adj-Barrows'!$B$10,'E-Barrows'!A8," ")</f>
        <v>26</v>
      </c>
      <c r="C8" s="26">
        <f>IF('E-Barrows'!A8&lt;'Adj-Barrows'!$B$10,'E-Barrows'!C8," ")</f>
        <v>171.16590609832548</v>
      </c>
      <c r="D8" s="28">
        <f>IF('E-Barrows'!A8&lt;'Adj-Barrows'!$B$10,'E-Barrows'!G8," ")</f>
        <v>0.64575257357076965</v>
      </c>
      <c r="E8" s="27">
        <f>IF('E-Barrows'!A8&lt;'Adj-Barrows'!$B$10,'E-Barrows'!D8," ")</f>
        <v>0.95688991413566415</v>
      </c>
      <c r="F8" s="27"/>
      <c r="G8" s="92">
        <f t="shared" si="1"/>
        <v>26</v>
      </c>
      <c r="H8" s="28">
        <f>IF('E-Barrows'!A8&lt;'Adj-Barrows'!$B$10,'E-Barrows'!I8," ")</f>
        <v>6.6390073788709403</v>
      </c>
      <c r="I8" s="24">
        <f>IF('E-Barrows'!A8&lt;'Adj-Barrows'!$B$10,'E-Barrows'!A8," ")</f>
        <v>26</v>
      </c>
      <c r="J8" s="26">
        <f>IF('E-Barrows'!A8&lt;'Adj-Barrows'!$B$10,'E-Barrows'!J8," ")</f>
        <v>188.69062607131909</v>
      </c>
      <c r="K8" s="28">
        <f>IF('E-Barrows'!A8&lt;'Adj-Barrows'!$B$10,'E-Barrows'!N8," ")</f>
        <v>0.80182453781585727</v>
      </c>
      <c r="L8" s="27">
        <f>IF('E-Barrows'!A8&lt;'Adj-Barrows'!$B$10,'E-Barrows'!K8," ")</f>
        <v>0.84953610724971418</v>
      </c>
      <c r="M8" s="28">
        <f>IF('E-Barrows'!A8&lt;'Adj-Barrows'!$B$10,'E-Barrows'!M8," ")</f>
        <v>0.2221101898566567</v>
      </c>
      <c r="N8" s="30">
        <f>IF('E-Barrows'!A8&lt;'Adj-Barrows'!$B$10,1/L8," ")</f>
        <v>1.1771130049285334</v>
      </c>
      <c r="O8" s="19"/>
      <c r="P8" s="31">
        <f t="shared" si="2"/>
        <v>0.41599162276763846</v>
      </c>
      <c r="Q8" s="31">
        <f t="shared" si="3"/>
        <v>0.48966914910111187</v>
      </c>
      <c r="R8" s="31">
        <f t="shared" si="4"/>
        <v>14.63650585407982</v>
      </c>
    </row>
    <row r="9" spans="1:18" x14ac:dyDescent="0.25">
      <c r="A9" s="28">
        <f>IF('E-Barrows'!A9&lt;'Adj-Barrows'!$B$10,'E-Barrows'!B9," ")</f>
        <v>6.7329368519147685</v>
      </c>
      <c r="B9" s="26">
        <f>IF('E-Barrows'!A9&lt;'Adj-Barrows'!$B$10,'E-Barrows'!A9," ")</f>
        <v>27</v>
      </c>
      <c r="C9" s="26">
        <f>IF('E-Barrows'!A9&lt;'Adj-Barrows'!$B$10,'E-Barrows'!C9," ")</f>
        <v>192.45078561314344</v>
      </c>
      <c r="D9" s="28">
        <f>IF('E-Barrows'!A9&lt;'Adj-Barrows'!$B$10,'E-Barrows'!G9," ")</f>
        <v>0.84952390108023768</v>
      </c>
      <c r="E9" s="27">
        <f>IF('E-Barrows'!A9&lt;'Adj-Barrows'!$B$10,'E-Barrows'!D9," ")</f>
        <v>0.94444487340448513</v>
      </c>
      <c r="F9" s="27"/>
      <c r="G9" s="92">
        <f t="shared" si="1"/>
        <v>27</v>
      </c>
      <c r="H9" s="28">
        <f>IF('E-Barrows'!A9&lt;'Adj-Barrows'!$B$10,'E-Barrows'!I9," ")</f>
        <v>6.8511621242464651</v>
      </c>
      <c r="I9" s="24">
        <f>IF('E-Barrows'!A9&lt;'Adj-Barrows'!$B$10,'E-Barrows'!A9," ")</f>
        <v>27</v>
      </c>
      <c r="J9" s="26">
        <f>IF('E-Barrows'!A9&lt;'Adj-Barrows'!$B$10,'E-Barrows'!J9," ")</f>
        <v>212.1547453755249</v>
      </c>
      <c r="K9" s="28">
        <f>IF('E-Barrows'!A9&lt;'Adj-Barrows'!$B$10,'E-Barrows'!N9," ")</f>
        <v>1.0548453652775642</v>
      </c>
      <c r="L9" s="27">
        <f>IF('E-Barrows'!A9&lt;'Adj-Barrows'!$B$10,'E-Barrows'!K9," ")</f>
        <v>0.8384872798964863</v>
      </c>
      <c r="M9" s="28">
        <f>IF('E-Barrows'!A9&lt;'Adj-Barrows'!$B$10,'E-Barrows'!M9," ")</f>
        <v>0.25302082746170701</v>
      </c>
      <c r="N9" s="30">
        <f>IF('E-Barrows'!A9&lt;'Adj-Barrows'!$B$10,1/L9," ")</f>
        <v>1.1926239359569688</v>
      </c>
      <c r="O9" s="19"/>
      <c r="P9" s="31">
        <f t="shared" si="2"/>
        <v>0.46772115098744915</v>
      </c>
      <c r="Q9" s="31">
        <f t="shared" si="3"/>
        <v>0.55781544002097516</v>
      </c>
      <c r="R9" s="31">
        <f t="shared" si="4"/>
        <v>15.104227005067269</v>
      </c>
    </row>
    <row r="10" spans="1:18" x14ac:dyDescent="0.25">
      <c r="A10" s="28">
        <f>IF('E-Barrows'!A10&lt;'Adj-Barrows'!$B$10,'E-Barrows'!B10," ")</f>
        <v>6.946112388634444</v>
      </c>
      <c r="B10" s="26">
        <f>IF('E-Barrows'!A10&lt;'Adj-Barrows'!$B$10,'E-Barrows'!A10," ")</f>
        <v>28</v>
      </c>
      <c r="C10" s="26">
        <f>IF('E-Barrows'!A10&lt;'Adj-Barrows'!$B$10,'E-Barrows'!C10," ")</f>
        <v>213.17553671967548</v>
      </c>
      <c r="D10" s="28">
        <f>IF('E-Barrows'!A10&lt;'Adj-Barrows'!$B$10,'E-Barrows'!G10," ")</f>
        <v>1.0781892332538014</v>
      </c>
      <c r="E10" s="27">
        <f>IF('E-Barrows'!A10&lt;'Adj-Barrows'!$B$10,'E-Barrows'!D10," ")</f>
        <v>0.93225997440604125</v>
      </c>
      <c r="F10" s="27"/>
      <c r="G10" s="92">
        <f t="shared" si="1"/>
        <v>28</v>
      </c>
      <c r="H10" s="28">
        <f>IF('E-Barrows'!A10&lt;'Adj-Barrows'!$B$10,'E-Barrows'!I10," ")</f>
        <v>7.0861635121023996</v>
      </c>
      <c r="I10" s="24">
        <f>IF('E-Barrows'!A10&lt;'Adj-Barrows'!$B$10,'E-Barrows'!A10," ")</f>
        <v>28</v>
      </c>
      <c r="J10" s="26">
        <f>IF('E-Barrows'!A10&lt;'Adj-Barrows'!$B$10,'E-Barrows'!J10," ")</f>
        <v>235.00138785593444</v>
      </c>
      <c r="K10" s="28">
        <f>IF('E-Barrows'!A10&lt;'Adj-Barrows'!$B$10,'E-Barrows'!N10," ")</f>
        <v>1.338776830344321</v>
      </c>
      <c r="L10" s="27">
        <f>IF('E-Barrows'!A10&lt;'Adj-Barrows'!$B$10,'E-Barrows'!K10," ")</f>
        <v>0.82766940888598539</v>
      </c>
      <c r="M10" s="28">
        <f>IF('E-Barrows'!A10&lt;'Adj-Barrows'!$B$10,'E-Barrows'!M10," ")</f>
        <v>0.28393146506675682</v>
      </c>
      <c r="N10" s="30">
        <f>IF('E-Barrows'!A10&lt;'Adj-Barrows'!$B$10,1/L10," ")</f>
        <v>1.2082118648627664</v>
      </c>
      <c r="O10" s="19"/>
      <c r="P10" s="31">
        <f t="shared" si="2"/>
        <v>0.51808937583305126</v>
      </c>
      <c r="Q10" s="31">
        <f t="shared" si="3"/>
        <v>0.6259617309408374</v>
      </c>
      <c r="R10" s="31">
        <f t="shared" si="4"/>
        <v>15.622316380900321</v>
      </c>
    </row>
    <row r="11" spans="1:18" x14ac:dyDescent="0.25">
      <c r="A11" s="28">
        <f>IF('E-Barrows'!A11&lt;'Adj-Barrows'!$B$10,'E-Barrows'!B11," ")</f>
        <v>7.1794525480523692</v>
      </c>
      <c r="B11" s="26">
        <f>IF('E-Barrows'!A11&lt;'Adj-Barrows'!$B$10,'E-Barrows'!A11," ")</f>
        <v>29</v>
      </c>
      <c r="C11" s="26">
        <f>IF('E-Barrows'!A11&lt;'Adj-Barrows'!$B$10,'E-Barrows'!C11," ")</f>
        <v>233.34015941792518</v>
      </c>
      <c r="D11" s="28">
        <f>IF('E-Barrows'!A11&lt;'Adj-Barrows'!$B$10,'E-Barrows'!G11," ")</f>
        <v>1.3317485700914635</v>
      </c>
      <c r="E11" s="27">
        <f>IF('E-Barrows'!A11&lt;'Adj-Barrows'!$B$10,'E-Barrows'!D11," ")</f>
        <v>0.92025859638258212</v>
      </c>
      <c r="F11" s="27"/>
      <c r="G11" s="92">
        <f t="shared" si="1"/>
        <v>29</v>
      </c>
      <c r="H11" s="28">
        <f>IF('E-Barrows'!A11&lt;'Adj-Barrows'!$B$10,'E-Barrows'!I11," ")</f>
        <v>7.3433940656149517</v>
      </c>
      <c r="I11" s="24">
        <f>IF('E-Barrows'!A11&lt;'Adj-Barrows'!$B$10,'E-Barrows'!A11," ")</f>
        <v>29</v>
      </c>
      <c r="J11" s="26">
        <f>IF('E-Barrows'!A11&lt;'Adj-Barrows'!$B$10,'E-Barrows'!J11," ")</f>
        <v>257.23055351255169</v>
      </c>
      <c r="K11" s="28">
        <f>IF('E-Barrows'!A11&lt;'Adj-Barrows'!$B$10,'E-Barrows'!N11," ")</f>
        <v>1.6536189330161308</v>
      </c>
      <c r="L11" s="27">
        <f>IF('E-Barrows'!A11&lt;'Adj-Barrows'!$B$10,'E-Barrows'!K11," ")</f>
        <v>0.8170144695694902</v>
      </c>
      <c r="M11" s="28">
        <f>IF('E-Barrows'!A11&lt;'Adj-Barrows'!$B$10,'E-Barrows'!M11," ")</f>
        <v>0.31484210267180984</v>
      </c>
      <c r="N11" s="30">
        <f>IF('E-Barrows'!A11&lt;'Adj-Barrows'!$B$10,1/L11," ")</f>
        <v>1.2239685308473551</v>
      </c>
      <c r="O11" s="19"/>
      <c r="P11" s="31">
        <f t="shared" si="2"/>
        <v>0.56709629730445354</v>
      </c>
      <c r="Q11" s="31">
        <f t="shared" si="3"/>
        <v>0.69410802186070686</v>
      </c>
      <c r="R11" s="31">
        <f t="shared" si="4"/>
        <v>16.189412678204775</v>
      </c>
    </row>
    <row r="12" spans="1:18" x14ac:dyDescent="0.25">
      <c r="A12" s="28">
        <f>IF('E-Barrows'!A12&lt;'Adj-Barrows'!$B$10,'E-Barrows'!B12," ")</f>
        <v>7.4323972017602573</v>
      </c>
      <c r="B12" s="26">
        <f>IF('E-Barrows'!A12&lt;'Adj-Barrows'!$B$10,'E-Barrows'!A12," ")</f>
        <v>30</v>
      </c>
      <c r="C12" s="26">
        <f>IF('E-Barrows'!A12&lt;'Adj-Barrows'!$B$10,'E-Barrows'!C12," ")</f>
        <v>252.94465370788811</v>
      </c>
      <c r="D12" s="28">
        <f>IF('E-Barrows'!A12&lt;'Adj-Barrows'!$B$10,'E-Barrows'!G12," ")</f>
        <v>1.6102019115932216</v>
      </c>
      <c r="E12" s="27">
        <f>IF('E-Barrows'!A12&lt;'Adj-Barrows'!$B$10,'E-Barrows'!D12," ")</f>
        <v>0.90839151846303523</v>
      </c>
      <c r="F12" s="27"/>
      <c r="G12" s="92">
        <f t="shared" si="1"/>
        <v>30</v>
      </c>
      <c r="H12" s="28">
        <f>IF('E-Barrows'!A12&lt;'Adj-Barrows'!$B$10,'E-Barrows'!I12," ")</f>
        <v>7.622236307960323</v>
      </c>
      <c r="I12" s="24">
        <f>IF('E-Barrows'!A12&lt;'Adj-Barrows'!$B$10,'E-Barrows'!A12," ")</f>
        <v>30</v>
      </c>
      <c r="J12" s="26">
        <f>IF('E-Barrows'!A12&lt;'Adj-Barrows'!$B$10,'E-Barrows'!J12," ")</f>
        <v>278.84224234537174</v>
      </c>
      <c r="K12" s="28">
        <f>IF('E-Barrows'!A12&lt;'Adj-Barrows'!$B$10,'E-Barrows'!N12," ")</f>
        <v>1.9993716732929909</v>
      </c>
      <c r="L12" s="27">
        <f>IF('E-Barrows'!A12&lt;'Adj-Barrows'!$B$10,'E-Barrows'!K12," ")</f>
        <v>0.80647876318229594</v>
      </c>
      <c r="M12" s="28">
        <f>IF('E-Barrows'!A12&lt;'Adj-Barrows'!$B$10,'E-Barrows'!M12," ")</f>
        <v>0.34575274027686009</v>
      </c>
      <c r="N12" s="30">
        <f>IF('E-Barrows'!A12&lt;'Adj-Barrows'!$B$10,1/L12," ")</f>
        <v>1.2399582551362989</v>
      </c>
      <c r="O12" s="19"/>
      <c r="P12" s="31">
        <f t="shared" si="2"/>
        <v>0.61474191540164513</v>
      </c>
      <c r="Q12" s="31">
        <f t="shared" si="3"/>
        <v>0.7622543127805701</v>
      </c>
      <c r="R12" s="31">
        <f t="shared" si="4"/>
        <v>16.80415459360642</v>
      </c>
    </row>
    <row r="13" spans="1:18" x14ac:dyDescent="0.25">
      <c r="A13" s="28">
        <f>IF('E-Barrows'!A13&lt;'Adj-Barrows'!$B$10,'E-Barrows'!B13," ")</f>
        <v>7.7043862213498242</v>
      </c>
      <c r="B13" s="26">
        <f>IF('E-Barrows'!A13&lt;'Adj-Barrows'!$B$10,'E-Barrows'!A13," ")</f>
        <v>31</v>
      </c>
      <c r="C13" s="26">
        <f>IF('E-Barrows'!A13&lt;'Adj-Barrows'!$B$10,'E-Barrows'!C13," ")</f>
        <v>271.98901958956691</v>
      </c>
      <c r="D13" s="28">
        <f>IF('E-Barrows'!A13&lt;'Adj-Barrows'!$B$10,'E-Barrows'!G13," ")</f>
        <v>1.9135492577590762</v>
      </c>
      <c r="E13" s="27">
        <f>IF('E-Barrows'!A13&lt;'Adj-Barrows'!$B$10,'E-Barrows'!D13," ")</f>
        <v>0.89662567689271067</v>
      </c>
      <c r="F13" s="27"/>
      <c r="G13" s="92">
        <f t="shared" si="1"/>
        <v>31</v>
      </c>
      <c r="H13" s="28">
        <f>IF('E-Barrows'!A13&lt;'Adj-Barrows'!$B$10,'E-Barrows'!I13," ")</f>
        <v>7.9220727623147207</v>
      </c>
      <c r="I13" s="24">
        <f>IF('E-Barrows'!A13&lt;'Adj-Barrows'!$B$10,'E-Barrows'!A13," ")</f>
        <v>31</v>
      </c>
      <c r="J13" s="26">
        <f>IF('E-Barrows'!A13&lt;'Adj-Barrows'!$B$10,'E-Barrows'!J13," ")</f>
        <v>299.83645435439746</v>
      </c>
      <c r="K13" s="28">
        <f>IF('E-Barrows'!A13&lt;'Adj-Barrows'!$B$10,'E-Barrows'!N13," ")</f>
        <v>2.376035051174902</v>
      </c>
      <c r="L13" s="27">
        <f>IF('E-Barrows'!A13&lt;'Adj-Barrows'!$B$10,'E-Barrows'!K13," ")</f>
        <v>0.79603293540366471</v>
      </c>
      <c r="M13" s="28">
        <f>IF('E-Barrows'!A13&lt;'Adj-Barrows'!$B$10,'E-Barrows'!M13," ")</f>
        <v>0.37666337788191112</v>
      </c>
      <c r="N13" s="30">
        <f>IF('E-Barrows'!A13&lt;'Adj-Barrows'!$B$10,1/L13," ")</f>
        <v>1.2562294291164027</v>
      </c>
      <c r="O13" s="19"/>
      <c r="P13" s="31">
        <f t="shared" si="2"/>
        <v>0.66102623012463246</v>
      </c>
      <c r="Q13" s="31">
        <f t="shared" si="3"/>
        <v>0.830400603700435</v>
      </c>
      <c r="R13" s="31">
        <f t="shared" si="4"/>
        <v>17.465180823731053</v>
      </c>
    </row>
    <row r="14" spans="1:18" x14ac:dyDescent="0.25">
      <c r="A14" s="28">
        <f>IF('E-Barrows'!A14&lt;'Adj-Barrows'!$B$10,'E-Barrows'!B14," ")</f>
        <v>7.9948594784127867</v>
      </c>
      <c r="B14" s="26">
        <f>IF('E-Barrows'!A14&lt;'Adj-Barrows'!$B$10,'E-Barrows'!A14," ")</f>
        <v>32</v>
      </c>
      <c r="C14" s="26">
        <f>IF('E-Barrows'!A14&lt;'Adj-Barrows'!$B$10,'E-Barrows'!C14," ")</f>
        <v>290.47325706296243</v>
      </c>
      <c r="D14" s="28">
        <f>IF('E-Barrows'!A14&lt;'Adj-Barrows'!$B$10,'E-Barrows'!G14," ")</f>
        <v>2.241790608589028</v>
      </c>
      <c r="E14" s="27">
        <f>IF('E-Barrows'!A14&lt;'Adj-Barrows'!$B$10,'E-Barrows'!D14," ")</f>
        <v>0.88493803821031825</v>
      </c>
      <c r="F14" s="27"/>
      <c r="G14" s="92">
        <f t="shared" si="1"/>
        <v>32</v>
      </c>
      <c r="H14" s="28">
        <f>IF('E-Barrows'!A14&lt;'Adj-Barrows'!$B$10,'E-Barrows'!I14," ")</f>
        <v>8.2422859518543508</v>
      </c>
      <c r="I14" s="24">
        <f>IF('E-Barrows'!A14&lt;'Adj-Barrows'!$B$10,'E-Barrows'!A14," ")</f>
        <v>32</v>
      </c>
      <c r="J14" s="26">
        <f>IF('E-Barrows'!A14&lt;'Adj-Barrows'!$B$10,'E-Barrows'!J14," ")</f>
        <v>320.21318953962992</v>
      </c>
      <c r="K14" s="28">
        <f>IF('E-Barrows'!A14&lt;'Adj-Barrows'!$B$10,'E-Barrows'!N14," ")</f>
        <v>2.7836090666618647</v>
      </c>
      <c r="L14" s="27">
        <f>IF('E-Barrows'!A14&lt;'Adj-Barrows'!$B$10,'E-Barrows'!K14," ")</f>
        <v>0.78565653690420978</v>
      </c>
      <c r="M14" s="28">
        <f>IF('E-Barrows'!A14&lt;'Adj-Barrows'!$B$10,'E-Barrows'!M14," ")</f>
        <v>0.40757401548696276</v>
      </c>
      <c r="N14" s="30">
        <f>IF('E-Barrows'!A14&lt;'Adj-Barrows'!$B$10,1/L14," ")</f>
        <v>1.2728208231301508</v>
      </c>
      <c r="O14" s="19"/>
      <c r="P14" s="31">
        <f t="shared" si="2"/>
        <v>0.70594924147341787</v>
      </c>
      <c r="Q14" s="31">
        <f t="shared" si="3"/>
        <v>0.89854689462030146</v>
      </c>
      <c r="R14" s="31">
        <f t="shared" si="4"/>
        <v>18.171130065204469</v>
      </c>
    </row>
    <row r="15" spans="1:18" x14ac:dyDescent="0.25">
      <c r="A15" s="28">
        <f>IF('E-Barrows'!A15&lt;'Adj-Barrows'!$B$10,'E-Barrows'!B15," ")</f>
        <v>8.3032568445408579</v>
      </c>
      <c r="B15" s="26">
        <f>IF('E-Barrows'!A15&lt;'Adj-Barrows'!$B$10,'E-Barrows'!A15," ")</f>
        <v>33</v>
      </c>
      <c r="C15" s="26">
        <f>IF('E-Barrows'!A15&lt;'Adj-Barrows'!$B$10,'E-Barrows'!C15," ")</f>
        <v>308.39736612807121</v>
      </c>
      <c r="D15" s="28">
        <f>IF('E-Barrows'!A15&lt;'Adj-Barrows'!$B$10,'E-Barrows'!G15," ")</f>
        <v>2.594925964083076</v>
      </c>
      <c r="E15" s="27">
        <f>IF('E-Barrows'!A15&lt;'Adj-Barrows'!$B$10,'E-Barrows'!D15," ")</f>
        <v>0.87331206385895088</v>
      </c>
      <c r="F15" s="27"/>
      <c r="G15" s="92">
        <f t="shared" si="1"/>
        <v>33</v>
      </c>
      <c r="H15" s="28">
        <f>IF('E-Barrows'!A15&lt;'Adj-Barrows'!$B$10,'E-Barrows'!I15," ")</f>
        <v>8.5822583997554158</v>
      </c>
      <c r="I15" s="24">
        <f>IF('E-Barrows'!A15&lt;'Adj-Barrows'!$B$10,'E-Barrows'!A15," ")</f>
        <v>33</v>
      </c>
      <c r="J15" s="26">
        <f>IF('E-Barrows'!A15&lt;'Adj-Barrows'!$B$10,'E-Barrows'!J15," ")</f>
        <v>339.97244790106521</v>
      </c>
      <c r="K15" s="28">
        <f>IF('E-Barrows'!A15&lt;'Adj-Barrows'!$B$10,'E-Barrows'!N15," ")</f>
        <v>3.2220937197538775</v>
      </c>
      <c r="L15" s="27">
        <f>IF('E-Barrows'!A15&lt;'Adj-Barrows'!$B$10,'E-Barrows'!K15," ")</f>
        <v>0.77533488459338251</v>
      </c>
      <c r="M15" s="28">
        <f>IF('E-Barrows'!A15&lt;'Adj-Barrows'!$B$10,'E-Barrows'!M15," ")</f>
        <v>0.43848465309201295</v>
      </c>
      <c r="N15" s="30">
        <f>IF('E-Barrows'!A15&lt;'Adj-Barrows'!$B$10,1/L15," ")</f>
        <v>1.289765261270865</v>
      </c>
      <c r="O15" s="19"/>
      <c r="P15" s="31">
        <f t="shared" si="2"/>
        <v>0.74951094944799268</v>
      </c>
      <c r="Q15" s="31">
        <f t="shared" si="3"/>
        <v>0.96669318554016448</v>
      </c>
      <c r="R15" s="31">
        <f t="shared" si="4"/>
        <v>18.92064101465246</v>
      </c>
    </row>
    <row r="16" spans="1:18" x14ac:dyDescent="0.25">
      <c r="A16" s="28">
        <f>IF('E-Barrows'!A16&lt;'Adj-Barrows'!$B$10,'E-Barrows'!B16," ")</f>
        <v>8.6290181913257555</v>
      </c>
      <c r="B16" s="26">
        <f>IF('E-Barrows'!A16&lt;'Adj-Barrows'!$B$10,'E-Barrows'!A16," ")</f>
        <v>34</v>
      </c>
      <c r="C16" s="26">
        <f>IF('E-Barrows'!A16&lt;'Adj-Barrows'!$B$10,'E-Barrows'!C16," ")</f>
        <v>325.76134678489768</v>
      </c>
      <c r="D16" s="28">
        <f>IF('E-Barrows'!A16&lt;'Adj-Barrows'!$B$10,'E-Barrows'!G16," ")</f>
        <v>2.9729553242412226</v>
      </c>
      <c r="E16" s="27">
        <f>IF('E-Barrows'!A16&lt;'Adj-Barrows'!$B$10,'E-Barrows'!D16," ")</f>
        <v>0.86173557167257375</v>
      </c>
      <c r="F16" s="27"/>
      <c r="G16" s="92">
        <f t="shared" si="1"/>
        <v>34</v>
      </c>
      <c r="H16" s="28">
        <f>IF('E-Barrows'!A16&lt;'Adj-Barrows'!$B$10,'E-Barrows'!I16," ")</f>
        <v>8.9413726291941238</v>
      </c>
      <c r="I16" s="24">
        <f>IF('E-Barrows'!A16&lt;'Adj-Barrows'!$B$10,'E-Barrows'!A16," ")</f>
        <v>34</v>
      </c>
      <c r="J16" s="26">
        <f>IF('E-Barrows'!A16&lt;'Adj-Barrows'!$B$10,'E-Barrows'!J16," ")</f>
        <v>359.11422943870821</v>
      </c>
      <c r="K16" s="28">
        <f>IF('E-Barrows'!A16&lt;'Adj-Barrows'!$B$10,'E-Barrows'!N16," ")</f>
        <v>3.6914890104509439</v>
      </c>
      <c r="L16" s="27">
        <f>IF('E-Barrows'!A16&lt;'Adj-Barrows'!$B$10,'E-Barrows'!K16," ")</f>
        <v>0.76505716302652393</v>
      </c>
      <c r="M16" s="28">
        <f>IF('E-Barrows'!A16&lt;'Adj-Barrows'!$B$10,'E-Barrows'!M16," ")</f>
        <v>0.46939529069706648</v>
      </c>
      <c r="N16" s="30">
        <f>IF('E-Barrows'!A16&lt;'Adj-Barrows'!$B$10,1/L16," ")</f>
        <v>1.3070918727746501</v>
      </c>
      <c r="O16" s="19"/>
      <c r="P16" s="31">
        <f t="shared" si="2"/>
        <v>0.79171135404836768</v>
      </c>
      <c r="Q16" s="31">
        <f t="shared" si="3"/>
        <v>1.0348394764600348</v>
      </c>
      <c r="R16" s="31">
        <f t="shared" si="4"/>
        <v>19.712352368700831</v>
      </c>
    </row>
    <row r="17" spans="1:18" x14ac:dyDescent="0.25">
      <c r="A17" s="28">
        <f>IF('E-Barrows'!A17&lt;'Adj-Barrows'!$B$10,'E-Barrows'!B17," ")</f>
        <v>8.9715833903591911</v>
      </c>
      <c r="B17" s="26">
        <f>IF('E-Barrows'!A17&lt;'Adj-Barrows'!$B$10,'E-Barrows'!A17," ")</f>
        <v>35</v>
      </c>
      <c r="C17" s="26">
        <f>IF('E-Barrows'!A17&lt;'Adj-Barrows'!$B$10,'E-Barrows'!C17," ")</f>
        <v>342.56519903343553</v>
      </c>
      <c r="D17" s="28">
        <f>IF('E-Barrows'!A17&lt;'Adj-Barrows'!$B$10,'E-Barrows'!G17," ")</f>
        <v>3.375878689063462</v>
      </c>
      <c r="E17" s="27">
        <f>IF('E-Barrows'!A17&lt;'Adj-Barrows'!$B$10,'E-Barrows'!D17," ")</f>
        <v>0.85019939011123702</v>
      </c>
      <c r="F17" s="27"/>
      <c r="G17" s="92">
        <f t="shared" si="1"/>
        <v>35</v>
      </c>
      <c r="H17" s="28">
        <f>IF('E-Barrows'!A17&lt;'Adj-Barrows'!$B$10,'E-Barrows'!I17," ")</f>
        <v>9.3190111633466763</v>
      </c>
      <c r="I17" s="24">
        <f>IF('E-Barrows'!A17&lt;'Adj-Barrows'!$B$10,'E-Barrows'!A17," ")</f>
        <v>35</v>
      </c>
      <c r="J17" s="26">
        <f>IF('E-Barrows'!A17&lt;'Adj-Barrows'!$B$10,'E-Barrows'!J17," ")</f>
        <v>377.63853415255193</v>
      </c>
      <c r="K17" s="28">
        <f>IF('E-Barrows'!A17&lt;'Adj-Barrows'!$B$10,'E-Barrows'!N17," ")</f>
        <v>4.1917949387530573</v>
      </c>
      <c r="L17" s="27">
        <f>IF('E-Barrows'!A17&lt;'Adj-Barrows'!$B$10,'E-Barrows'!K17," ")</f>
        <v>0.75481522962188941</v>
      </c>
      <c r="M17" s="28">
        <f>IF('E-Barrows'!A17&lt;'Adj-Barrows'!$B$10,'E-Barrows'!M17," ")</f>
        <v>0.50030592830211296</v>
      </c>
      <c r="N17" s="30">
        <f>IF('E-Barrows'!A17&lt;'Adj-Barrows'!$B$10,1/L17," ")</f>
        <v>1.3248275349464416</v>
      </c>
      <c r="O17" s="19"/>
      <c r="P17" s="31">
        <f t="shared" si="2"/>
        <v>0.83255045527452742</v>
      </c>
      <c r="Q17" s="31">
        <f t="shared" si="3"/>
        <v>1.1029857673798897</v>
      </c>
      <c r="R17" s="31">
        <f t="shared" si="4"/>
        <v>20.544902823975359</v>
      </c>
    </row>
    <row r="18" spans="1:18" x14ac:dyDescent="0.25">
      <c r="A18" s="28">
        <f>IF('E-Barrows'!A18&lt;'Adj-Barrows'!$B$10,'E-Barrows'!B18," ")</f>
        <v>9.330392313232883</v>
      </c>
      <c r="B18" s="26">
        <f>IF('E-Barrows'!A18&lt;'Adj-Barrows'!$B$10,'E-Barrows'!A18," ")</f>
        <v>36</v>
      </c>
      <c r="C18" s="26">
        <f>IF('E-Barrows'!A18&lt;'Adj-Barrows'!$B$10,'E-Barrows'!C18," ")</f>
        <v>358.80892287369193</v>
      </c>
      <c r="D18" s="28">
        <f>IF('E-Barrows'!A18&lt;'Adj-Barrows'!$B$10,'E-Barrows'!G18," ")</f>
        <v>3.8036960585498014</v>
      </c>
      <c r="E18" s="27">
        <f>IF('E-Barrows'!A18&lt;'Adj-Barrows'!$B$10,'E-Barrows'!D18," ")</f>
        <v>0.83869648234361571</v>
      </c>
      <c r="F18" s="27"/>
      <c r="G18" s="92">
        <f t="shared" si="1"/>
        <v>36</v>
      </c>
      <c r="H18" s="28">
        <f>IF('E-Barrows'!A18&lt;'Adj-Barrows'!$B$10,'E-Barrows'!I18," ")</f>
        <v>9.7145565253892805</v>
      </c>
      <c r="I18" s="24">
        <f>IF('E-Barrows'!A18&lt;'Adj-Barrows'!$B$10,'E-Barrows'!A18," ")</f>
        <v>36</v>
      </c>
      <c r="J18" s="26">
        <f>IF('E-Barrows'!A18&lt;'Adj-Barrows'!$B$10,'E-Barrows'!J18," ")</f>
        <v>395.54536204260438</v>
      </c>
      <c r="K18" s="28">
        <f>IF('E-Barrows'!A18&lt;'Adj-Barrows'!$B$10,'E-Barrows'!N18," ")</f>
        <v>4.7230115046602252</v>
      </c>
      <c r="L18" s="27">
        <f>IF('E-Barrows'!A18&lt;'Adj-Barrows'!$B$10,'E-Barrows'!K18," ")</f>
        <v>0.74460283701266805</v>
      </c>
      <c r="M18" s="28">
        <f>IF('E-Barrows'!A18&lt;'Adj-Barrows'!$B$10,'E-Barrows'!M18," ")</f>
        <v>0.53121656590716815</v>
      </c>
      <c r="N18" s="30">
        <f>IF('E-Barrows'!A18&lt;'Adj-Barrows'!$B$10,1/L18," ")</f>
        <v>1.34299783762842</v>
      </c>
      <c r="O18" s="19"/>
      <c r="P18" s="31">
        <f t="shared" si="2"/>
        <v>0.87202825312648968</v>
      </c>
      <c r="Q18" s="31">
        <f t="shared" si="3"/>
        <v>1.171132058299764</v>
      </c>
      <c r="R18" s="31">
        <f t="shared" si="4"/>
        <v>21.41693107710185</v>
      </c>
    </row>
    <row r="19" spans="1:18" x14ac:dyDescent="0.25">
      <c r="A19" s="28">
        <f>IF('E-Barrows'!A19&lt;'Adj-Barrows'!$B$10,'E-Barrows'!B19," ")</f>
        <v>9.7048848315385463</v>
      </c>
      <c r="B19" s="26">
        <f>IF('E-Barrows'!A19&lt;'Adj-Barrows'!$B$10,'E-Barrows'!A19," ")</f>
        <v>37</v>
      </c>
      <c r="C19" s="26">
        <f>IF('E-Barrows'!A19&lt;'Adj-Barrows'!$B$10,'E-Barrows'!C19," ")</f>
        <v>374.49251830566334</v>
      </c>
      <c r="D19" s="28">
        <f>IF('E-Barrows'!A19&lt;'Adj-Barrows'!$B$10,'E-Barrows'!G19," ")</f>
        <v>4.2564074327002377</v>
      </c>
      <c r="E19" s="27">
        <f>IF('E-Barrows'!A19&lt;'Adj-Barrows'!$B$10,'E-Barrows'!D19," ")</f>
        <v>0.82722135932290353</v>
      </c>
      <c r="F19" s="27"/>
      <c r="G19" s="92">
        <f t="shared" si="1"/>
        <v>37</v>
      </c>
      <c r="H19" s="28">
        <f>IF('E-Barrows'!A19&lt;'Adj-Barrows'!$B$10,'E-Barrows'!I19," ")</f>
        <v>10.127391238498141</v>
      </c>
      <c r="I19" s="24">
        <f>IF('E-Barrows'!A19&lt;'Adj-Barrows'!$B$10,'E-Barrows'!A19," ")</f>
        <v>37</v>
      </c>
      <c r="J19" s="26">
        <f>IF('E-Barrows'!A19&lt;'Adj-Barrows'!$B$10,'E-Barrows'!J19," ")</f>
        <v>412.83471310886159</v>
      </c>
      <c r="K19" s="28">
        <f>IF('E-Barrows'!A19&lt;'Adj-Barrows'!$B$10,'E-Barrows'!N19," ")</f>
        <v>5.2851387081724441</v>
      </c>
      <c r="L19" s="27">
        <f>IF('E-Barrows'!A19&lt;'Adj-Barrows'!$B$10,'E-Barrows'!K19," ")</f>
        <v>0.73441511197009302</v>
      </c>
      <c r="M19" s="28">
        <f>IF('E-Barrows'!A19&lt;'Adj-Barrows'!$B$10,'E-Barrows'!M19," ")</f>
        <v>0.56212720351221901</v>
      </c>
      <c r="N19" s="30">
        <f>IF('E-Barrows'!A19&lt;'Adj-Barrows'!$B$10,1/L19," ")</f>
        <v>1.3616277547958766</v>
      </c>
      <c r="O19" s="19"/>
      <c r="P19" s="31">
        <f t="shared" si="2"/>
        <v>0.91014474760424557</v>
      </c>
      <c r="Q19" s="31">
        <f t="shared" si="3"/>
        <v>1.2392783492196286</v>
      </c>
      <c r="R19" s="31">
        <f t="shared" si="4"/>
        <v>22.327075824706093</v>
      </c>
    </row>
    <row r="20" spans="1:18" x14ac:dyDescent="0.25">
      <c r="A20" s="28">
        <f>IF('E-Barrows'!A20&lt;'Adj-Barrows'!$B$10,'E-Barrows'!B20," ")</f>
        <v>10.094500816867896</v>
      </c>
      <c r="B20" s="26">
        <f>IF('E-Barrows'!A20&lt;'Adj-Barrows'!$B$10,'E-Barrows'!A20," ")</f>
        <v>38</v>
      </c>
      <c r="C20" s="26">
        <f>IF('E-Barrows'!A20&lt;'Adj-Barrows'!$B$10,'E-Barrows'!C20," ")</f>
        <v>389.61598532934971</v>
      </c>
      <c r="D20" s="28">
        <f>IF('E-Barrows'!A20&lt;'Adj-Barrows'!$B$10,'E-Barrows'!G20," ")</f>
        <v>4.734012811514769</v>
      </c>
      <c r="E20" s="27">
        <f>IF('E-Barrows'!A20&lt;'Adj-Barrows'!$B$10,'E-Barrows'!D20," ")</f>
        <v>0.81576967641448939</v>
      </c>
      <c r="F20" s="27"/>
      <c r="G20" s="92">
        <f t="shared" si="1"/>
        <v>38</v>
      </c>
      <c r="H20" s="28">
        <f>IF('E-Barrows'!A20&lt;'Adj-Barrows'!$B$10,'E-Barrows'!I20," ")</f>
        <v>10.556897825849465</v>
      </c>
      <c r="I20" s="24">
        <f>IF('E-Barrows'!A20&lt;'Adj-Barrows'!$B$10,'E-Barrows'!A20," ")</f>
        <v>38</v>
      </c>
      <c r="J20" s="26">
        <f>IF('E-Barrows'!A20&lt;'Adj-Barrows'!$B$10,'E-Barrows'!J20," ")</f>
        <v>429.50658735132356</v>
      </c>
      <c r="K20" s="28">
        <f>IF('E-Barrows'!A20&lt;'Adj-Barrows'!$B$10,'E-Barrows'!N20," ")</f>
        <v>5.8781765492897122</v>
      </c>
      <c r="L20" s="27">
        <f>IF('E-Barrows'!A20&lt;'Adj-Barrows'!$B$10,'E-Barrows'!K20," ")</f>
        <v>0.72424819728559675</v>
      </c>
      <c r="M20" s="28">
        <f>IF('E-Barrows'!A20&lt;'Adj-Barrows'!$B$10,'E-Barrows'!M20," ")</f>
        <v>0.59303784111726809</v>
      </c>
      <c r="N20" s="30">
        <f>IF('E-Barrows'!A20&lt;'Adj-Barrows'!$B$10,1/L20," ")</f>
        <v>1.3807421319761526</v>
      </c>
      <c r="O20" s="19"/>
      <c r="P20" s="31">
        <f t="shared" si="2"/>
        <v>0.94689993870779521</v>
      </c>
      <c r="Q20" s="31">
        <f t="shared" si="3"/>
        <v>1.3074246401394893</v>
      </c>
      <c r="R20" s="31">
        <f t="shared" si="4"/>
        <v>23.273975763413887</v>
      </c>
    </row>
    <row r="21" spans="1:18" x14ac:dyDescent="0.25">
      <c r="A21" s="28">
        <f>IF('E-Barrows'!A21&lt;'Adj-Barrows'!$B$10,'E-Barrows'!B21," ")</f>
        <v>10.498680140812647</v>
      </c>
      <c r="B21" s="26">
        <f>IF('E-Barrows'!A21&lt;'Adj-Barrows'!$B$10,'E-Barrows'!A21," ")</f>
        <v>39</v>
      </c>
      <c r="C21" s="26">
        <f>IF('E-Barrows'!A21&lt;'Adj-Barrows'!$B$10,'E-Barrows'!C21," ")</f>
        <v>404.1793239447511</v>
      </c>
      <c r="D21" s="28">
        <f>IF('E-Barrows'!A21&lt;'Adj-Barrows'!$B$10,'E-Barrows'!G21," ")</f>
        <v>5.2365121949933986</v>
      </c>
      <c r="E21" s="27">
        <f>IF('E-Barrows'!A21&lt;'Adj-Barrows'!$B$10,'E-Barrows'!D21," ")</f>
        <v>0.80433794992295837</v>
      </c>
      <c r="F21" s="27"/>
      <c r="G21" s="92">
        <f t="shared" si="1"/>
        <v>39</v>
      </c>
      <c r="H21" s="28">
        <f>IF('E-Barrows'!A21&lt;'Adj-Barrows'!$B$10,'E-Barrows'!I21," ")</f>
        <v>11.002458810619455</v>
      </c>
      <c r="I21" s="24">
        <f>IF('E-Barrows'!A21&lt;'Adj-Barrows'!$B$10,'E-Barrows'!A21," ")</f>
        <v>39</v>
      </c>
      <c r="J21" s="26">
        <f>IF('E-Barrows'!A21&lt;'Adj-Barrows'!$B$10,'E-Barrows'!J21," ")</f>
        <v>445.56098476999023</v>
      </c>
      <c r="K21" s="28">
        <f>IF('E-Barrows'!A21&lt;'Adj-Barrows'!$B$10,'E-Barrows'!N21," ")</f>
        <v>6.5021250280120331</v>
      </c>
      <c r="L21" s="27">
        <f>IF('E-Barrows'!A21&lt;'Adj-Barrows'!$B$10,'E-Barrows'!K21," ")</f>
        <v>0.71409900010074512</v>
      </c>
      <c r="M21" s="28">
        <f>IF('E-Barrows'!A21&lt;'Adj-Barrows'!$B$10,'E-Barrows'!M21," ")</f>
        <v>0.62394847872232062</v>
      </c>
      <c r="N21" s="30">
        <f>IF('E-Barrows'!A21&lt;'Adj-Barrows'!$B$10,1/L21," ")</f>
        <v>1.4003660554893929</v>
      </c>
      <c r="O21" s="19"/>
      <c r="P21" s="31">
        <f t="shared" si="2"/>
        <v>0.98229382643713825</v>
      </c>
      <c r="Q21" s="31">
        <f t="shared" si="3"/>
        <v>1.3755709310593573</v>
      </c>
      <c r="R21" s="31">
        <f t="shared" si="4"/>
        <v>24.256269589851026</v>
      </c>
    </row>
    <row r="22" spans="1:18" x14ac:dyDescent="0.25">
      <c r="A22" s="28">
        <f>IF('E-Barrows'!A22&lt;'Adj-Barrows'!$B$10,'E-Barrows'!B22," ")</f>
        <v>10.916862674964515</v>
      </c>
      <c r="B22" s="26">
        <f>IF('E-Barrows'!A22&lt;'Adj-Barrows'!$B$10,'E-Barrows'!A22," ")</f>
        <v>40</v>
      </c>
      <c r="C22" s="26">
        <f>IF('E-Barrows'!A22&lt;'Adj-Barrows'!$B$10,'E-Barrows'!C22," ")</f>
        <v>418.18253415186746</v>
      </c>
      <c r="D22" s="28">
        <f>IF('E-Barrows'!A22&lt;'Adj-Barrows'!$B$10,'E-Barrows'!G22," ")</f>
        <v>5.7639055831361263</v>
      </c>
      <c r="E22" s="27">
        <f>IF('E-Barrows'!A22&lt;'Adj-Barrows'!$B$10,'E-Barrows'!D22," ")</f>
        <v>0.79292335390199331</v>
      </c>
      <c r="F22" s="27"/>
      <c r="G22" s="92">
        <f t="shared" si="1"/>
        <v>40</v>
      </c>
      <c r="H22" s="28">
        <f>IF('E-Barrows'!A22&lt;'Adj-Barrows'!$B$10,'E-Barrows'!I22," ")</f>
        <v>11.463456715984316</v>
      </c>
      <c r="I22" s="24">
        <f>IF('E-Barrows'!A22&lt;'Adj-Barrows'!$B$10,'E-Barrows'!A22," ")</f>
        <v>40</v>
      </c>
      <c r="J22" s="26">
        <f>IF('E-Barrows'!A22&lt;'Adj-Barrows'!$B$10,'E-Barrows'!J22," ")</f>
        <v>460.99790536486171</v>
      </c>
      <c r="K22" s="28">
        <f>IF('E-Barrows'!A22&lt;'Adj-Barrows'!$B$10,'E-Barrows'!N22," ")</f>
        <v>7.1569841443394075</v>
      </c>
      <c r="L22" s="27">
        <f>IF('E-Barrows'!A22&lt;'Adj-Barrows'!$B$10,'E-Barrows'!K22," ")</f>
        <v>0.70396501151310498</v>
      </c>
      <c r="M22" s="28">
        <f>IF('E-Barrows'!A22&lt;'Adj-Barrows'!$B$10,'E-Barrows'!M22," ")</f>
        <v>0.65485911632737415</v>
      </c>
      <c r="N22" s="30">
        <f>IF('E-Barrows'!A22&lt;'Adj-Barrows'!$B$10,1/L22," ")</f>
        <v>1.4205251449224676</v>
      </c>
      <c r="O22" s="19"/>
      <c r="P22" s="31">
        <f t="shared" si="2"/>
        <v>1.0163264107922751</v>
      </c>
      <c r="Q22" s="31">
        <f t="shared" si="3"/>
        <v>1.443717221979228</v>
      </c>
      <c r="R22" s="31">
        <f t="shared" si="4"/>
        <v>25.272596000643301</v>
      </c>
    </row>
    <row r="23" spans="1:18" x14ac:dyDescent="0.25">
      <c r="A23" s="28">
        <f>IF('E-Barrows'!A23&lt;'Adj-Barrows'!$B$10,'E-Barrows'!B23," ")</f>
        <v>11.348488290915215</v>
      </c>
      <c r="B23" s="26">
        <f>IF('E-Barrows'!A23&lt;'Adj-Barrows'!$B$10,'E-Barrows'!A23," ")</f>
        <v>41</v>
      </c>
      <c r="C23" s="26">
        <f>IF('E-Barrows'!A23&lt;'Adj-Barrows'!$B$10,'E-Barrows'!C23," ")</f>
        <v>431.62561595070059</v>
      </c>
      <c r="D23" s="28">
        <f>IF('E-Barrows'!A23&lt;'Adj-Barrows'!$B$10,'E-Barrows'!G23," ")</f>
        <v>6.3112141750101278</v>
      </c>
      <c r="E23" s="27">
        <f>IF('E-Barrows'!A23&lt;'Adj-Barrows'!$B$10,'E-Barrows'!D23," ")</f>
        <v>0.78863299856631419</v>
      </c>
      <c r="F23" s="27"/>
      <c r="G23" s="92">
        <f t="shared" si="1"/>
        <v>41</v>
      </c>
      <c r="H23" s="28">
        <f>IF('E-Barrows'!A23&lt;'Adj-Barrows'!$B$10,'E-Barrows'!I23," ")</f>
        <v>11.939274065120255</v>
      </c>
      <c r="I23" s="24">
        <f>IF('E-Barrows'!A23&lt;'Adj-Barrows'!$B$10,'E-Barrows'!A23," ")</f>
        <v>41</v>
      </c>
      <c r="J23" s="26">
        <f>IF('E-Barrows'!A23&lt;'Adj-Barrows'!$B$10,'E-Barrows'!J23," ")</f>
        <v>475.81734913593982</v>
      </c>
      <c r="K23" s="28">
        <f>IF('E-Barrows'!A23&lt;'Adj-Barrows'!$B$10,'E-Barrows'!N23," ")</f>
        <v>7.8365717707508171</v>
      </c>
      <c r="L23" s="27">
        <f>IF('E-Barrows'!A23&lt;'Adj-Barrows'!$B$10,'E-Barrows'!K23," ")</f>
        <v>0.70015599261056682</v>
      </c>
      <c r="M23" s="28">
        <f>IF('E-Barrows'!A23&lt;'Adj-Barrows'!$B$10,'E-Barrows'!M23," ")</f>
        <v>0.67958762641141002</v>
      </c>
      <c r="N23" s="30">
        <f>IF('E-Barrows'!A23&lt;'Adj-Barrows'!$B$10,1/L23," ")</f>
        <v>1.4282531472328754</v>
      </c>
      <c r="O23" s="19"/>
      <c r="P23" s="31">
        <f t="shared" si="2"/>
        <v>1.04899769177321</v>
      </c>
      <c r="Q23" s="31">
        <f t="shared" si="3"/>
        <v>1.4982342547151091</v>
      </c>
      <c r="R23" s="31">
        <f t="shared" si="4"/>
        <v>26.321593692416506</v>
      </c>
    </row>
    <row r="24" spans="1:18" x14ac:dyDescent="0.25">
      <c r="A24" s="28">
        <f>IF('E-Barrows'!A24&lt;'Adj-Barrows'!$B$10,'E-Barrows'!B24," ")</f>
        <v>11.792996860256462</v>
      </c>
      <c r="B24" s="26">
        <f>IF('E-Barrows'!A24&lt;'Adj-Barrows'!$B$10,'E-Barrows'!A24," ")</f>
        <v>42</v>
      </c>
      <c r="C24" s="26">
        <f>IF('E-Barrows'!A24&lt;'Adj-Barrows'!$B$10,'E-Barrows'!C24," ")</f>
        <v>444.50856934124693</v>
      </c>
      <c r="D24" s="28">
        <f>IF('E-Barrows'!A24&lt;'Adj-Barrows'!$B$10,'E-Barrows'!G24," ")</f>
        <v>6.8784379706154075</v>
      </c>
      <c r="E24" s="27">
        <f>IF('E-Barrows'!A24&lt;'Adj-Barrows'!$B$10,'E-Barrows'!D24," ")</f>
        <v>0.78365642059659302</v>
      </c>
      <c r="F24" s="27"/>
      <c r="G24" s="92">
        <f t="shared" si="1"/>
        <v>42</v>
      </c>
      <c r="H24" s="28">
        <f>IF('E-Barrows'!A24&lt;'Adj-Barrows'!$B$10,'E-Barrows'!I24," ")</f>
        <v>12.429293381203475</v>
      </c>
      <c r="I24" s="24">
        <f>IF('E-Barrows'!A24&lt;'Adj-Barrows'!$B$10,'E-Barrows'!A24," ")</f>
        <v>42</v>
      </c>
      <c r="J24" s="26">
        <f>IF('E-Barrows'!A24&lt;'Adj-Barrows'!$B$10,'E-Barrows'!J24," ")</f>
        <v>490.01931608322076</v>
      </c>
      <c r="K24" s="28">
        <f>IF('E-Barrows'!A24&lt;'Adj-Barrows'!$B$10,'E-Barrows'!N24," ")</f>
        <v>8.5408879072462689</v>
      </c>
      <c r="L24" s="27">
        <f>IF('E-Barrows'!A24&lt;'Adj-Barrows'!$B$10,'E-Barrows'!K24," ")</f>
        <v>0.69573773862610455</v>
      </c>
      <c r="M24" s="28">
        <f>IF('E-Barrows'!A24&lt;'Adj-Barrows'!$B$10,'E-Barrows'!M24," ")</f>
        <v>0.70431613649545222</v>
      </c>
      <c r="N24" s="30">
        <f>IF('E-Barrows'!A24&lt;'Adj-Barrows'!$B$10,1/L24," ")</f>
        <v>1.4373232102871576</v>
      </c>
      <c r="O24" s="19"/>
      <c r="P24" s="31">
        <f t="shared" si="2"/>
        <v>1.0803076693799341</v>
      </c>
      <c r="Q24" s="31">
        <f t="shared" si="3"/>
        <v>1.5527512874510039</v>
      </c>
      <c r="R24" s="31">
        <f t="shared" si="4"/>
        <v>27.40190136179644</v>
      </c>
    </row>
    <row r="25" spans="1:18" x14ac:dyDescent="0.25">
      <c r="A25" s="28">
        <f>IF('E-Barrows'!A25&lt;'Adj-Barrows'!$B$10,'E-Barrows'!B25," ")</f>
        <v>12.247458722066353</v>
      </c>
      <c r="B25" s="26">
        <f>IF('E-Barrows'!A25&lt;'Adj-Barrows'!$B$10,'E-Barrows'!A25," ")</f>
        <v>43</v>
      </c>
      <c r="C25" s="26">
        <f>IF('E-Barrows'!A25&lt;'Adj-Barrows'!$B$10,'E-Barrows'!C25," ")</f>
        <v>454.46186180989122</v>
      </c>
      <c r="D25" s="28">
        <f>IF('E-Barrows'!A25&lt;'Adj-Barrows'!$B$10,'E-Barrows'!G25," ")</f>
        <v>7.4655769699519663</v>
      </c>
      <c r="E25" s="27">
        <f>IF('E-Barrows'!A25&lt;'Adj-Barrows'!$B$10,'E-Barrows'!D25," ")</f>
        <v>0.77402772141420173</v>
      </c>
      <c r="F25" s="27"/>
      <c r="G25" s="92">
        <f t="shared" si="1"/>
        <v>43</v>
      </c>
      <c r="H25" s="28">
        <f>IF('E-Barrows'!A25&lt;'Adj-Barrows'!$B$10,'E-Barrows'!I25," ")</f>
        <v>12.93028505171282</v>
      </c>
      <c r="I25" s="24">
        <f>IF('E-Barrows'!A25&lt;'Adj-Barrows'!$B$10,'E-Barrows'!A25," ")</f>
        <v>43</v>
      </c>
      <c r="J25" s="26">
        <f>IF('E-Barrows'!A25&lt;'Adj-Barrows'!$B$10,'E-Barrows'!J25," ")</f>
        <v>500.99167050934449</v>
      </c>
      <c r="K25" s="28">
        <f>IF('E-Barrows'!A25&lt;'Adj-Barrows'!$B$10,'E-Barrows'!N25," ")</f>
        <v>9.2699325538257646</v>
      </c>
      <c r="L25" s="27">
        <f>IF('E-Barrows'!A25&lt;'Adj-Barrows'!$B$10,'E-Barrows'!K25," ")</f>
        <v>0.68718928649963829</v>
      </c>
      <c r="M25" s="28">
        <f>IF('E-Barrows'!A25&lt;'Adj-Barrows'!$B$10,'E-Barrows'!M25," ")</f>
        <v>0.72904464657949553</v>
      </c>
      <c r="N25" s="30">
        <f>IF('E-Barrows'!A25&lt;'Adj-Barrows'!$B$10,1/L25," ")</f>
        <v>1.4552031291025174</v>
      </c>
      <c r="O25" s="19"/>
      <c r="P25" s="31">
        <f t="shared" si="2"/>
        <v>1.1044975701627091</v>
      </c>
      <c r="Q25" s="31">
        <f t="shared" si="3"/>
        <v>1.6072683201869016</v>
      </c>
      <c r="R25" s="31">
        <f t="shared" si="4"/>
        <v>28.506398931959151</v>
      </c>
    </row>
    <row r="26" spans="1:18" x14ac:dyDescent="0.25">
      <c r="A26" s="28">
        <f>IF('E-Barrows'!A26&lt;'Adj-Barrows'!$B$10,'E-Barrows'!B26," ")</f>
        <v>12.712096747258519</v>
      </c>
      <c r="B26" s="26">
        <f>IF('E-Barrows'!A26&lt;'Adj-Barrows'!$B$10,'E-Barrows'!A26," ")</f>
        <v>44</v>
      </c>
      <c r="C26" s="26">
        <f>IF('E-Barrows'!A26&lt;'Adj-Barrows'!$B$10,'E-Barrows'!C26," ")</f>
        <v>464.63802519216557</v>
      </c>
      <c r="D26" s="28">
        <f>IF('E-Barrows'!A26&lt;'Adj-Barrows'!$B$10,'E-Barrows'!G26," ")</f>
        <v>8.0726311730198006</v>
      </c>
      <c r="E26" s="27">
        <f>IF('E-Barrows'!A26&lt;'Adj-Barrows'!$B$10,'E-Barrows'!D26," ")</f>
        <v>0.76539792137844076</v>
      </c>
      <c r="F26" s="27"/>
      <c r="G26" s="92">
        <f t="shared" si="1"/>
        <v>44</v>
      </c>
      <c r="H26" s="28">
        <f>IF('E-Barrows'!A26&lt;'Adj-Barrows'!$B$10,'E-Barrows'!I26," ")</f>
        <v>13.44249476606848</v>
      </c>
      <c r="I26" s="24">
        <f>IF('E-Barrows'!A26&lt;'Adj-Barrows'!$B$10,'E-Barrows'!A26," ")</f>
        <v>44</v>
      </c>
      <c r="J26" s="26">
        <f>IF('E-Barrows'!A26&lt;'Adj-Barrows'!$B$10,'E-Barrows'!J26," ")</f>
        <v>512.20971435566025</v>
      </c>
      <c r="K26" s="28">
        <f>IF('E-Barrows'!A26&lt;'Adj-Barrows'!$B$10,'E-Barrows'!N26," ")</f>
        <v>10.023705710489297</v>
      </c>
      <c r="L26" s="27">
        <f>IF('E-Barrows'!A26&lt;'Adj-Barrows'!$B$10,'E-Barrows'!K26," ")</f>
        <v>0.67952766668274844</v>
      </c>
      <c r="M26" s="28">
        <f>IF('E-Barrows'!A26&lt;'Adj-Barrows'!$B$10,'E-Barrows'!M26," ")</f>
        <v>0.75377315666353273</v>
      </c>
      <c r="N26" s="30">
        <f>IF('E-Barrows'!A26&lt;'Adj-Barrows'!$B$10,1/L26," ")</f>
        <v>1.4716104274042321</v>
      </c>
      <c r="O26" s="19"/>
      <c r="P26" s="31">
        <f t="shared" si="2"/>
        <v>1.1292291233991882</v>
      </c>
      <c r="Q26" s="31">
        <f t="shared" si="3"/>
        <v>1.6617853529227855</v>
      </c>
      <c r="R26" s="31">
        <f t="shared" si="4"/>
        <v>29.635628055358335</v>
      </c>
    </row>
    <row r="27" spans="1:18" x14ac:dyDescent="0.25">
      <c r="A27" s="28">
        <f>IF('E-Barrows'!A27&lt;'Adj-Barrows'!$B$10,'E-Barrows'!B27," ")</f>
        <v>13.187138797200186</v>
      </c>
      <c r="B27" s="26">
        <f>IF('E-Barrows'!A27&lt;'Adj-Barrows'!$B$10,'E-Barrows'!A27," ")</f>
        <v>45</v>
      </c>
      <c r="C27" s="26">
        <f>IF('E-Barrows'!A27&lt;'Adj-Barrows'!$B$10,'E-Barrows'!C27," ")</f>
        <v>475.04204994166696</v>
      </c>
      <c r="D27" s="28">
        <f>IF('E-Barrows'!A27&lt;'Adj-Barrows'!$B$10,'E-Barrows'!G27," ")</f>
        <v>8.6996005798189149</v>
      </c>
      <c r="E27" s="27">
        <f>IF('E-Barrows'!A27&lt;'Adj-Barrows'!$B$10,'E-Barrows'!D27," ")</f>
        <v>0.75767979233135696</v>
      </c>
      <c r="F27" s="27"/>
      <c r="G27" s="92">
        <f t="shared" si="1"/>
        <v>45</v>
      </c>
      <c r="H27" s="28">
        <f>IF('E-Barrows'!A27&lt;'Adj-Barrows'!$B$10,'E-Barrows'!I27," ")</f>
        <v>13.966173715088882</v>
      </c>
      <c r="I27" s="24">
        <f>IF('E-Barrows'!A27&lt;'Adj-Barrows'!$B$10,'E-Barrows'!A27," ")</f>
        <v>45</v>
      </c>
      <c r="J27" s="26">
        <f>IF('E-Barrows'!A27&lt;'Adj-Barrows'!$B$10,'E-Barrows'!J27," ")</f>
        <v>523.67894902040234</v>
      </c>
      <c r="K27" s="28">
        <f>IF('E-Barrows'!A27&lt;'Adj-Barrows'!$B$10,'E-Barrows'!N27," ")</f>
        <v>10.802207377236876</v>
      </c>
      <c r="L27" s="27">
        <f>IF('E-Barrows'!A27&lt;'Adj-Barrows'!$B$10,'E-Barrows'!K27," ")</f>
        <v>0.67267543717436951</v>
      </c>
      <c r="M27" s="28">
        <f>IF('E-Barrows'!A27&lt;'Adj-Barrows'!$B$10,'E-Barrows'!M27," ")</f>
        <v>0.77850166674757804</v>
      </c>
      <c r="N27" s="30">
        <f>IF('E-Barrows'!A27&lt;'Adj-Barrows'!$B$10,1/L27," ")</f>
        <v>1.4866010333312976</v>
      </c>
      <c r="O27" s="19"/>
      <c r="P27" s="31">
        <f t="shared" si="2"/>
        <v>1.1545144575963708</v>
      </c>
      <c r="Q27" s="31">
        <f t="shared" si="3"/>
        <v>1.7163023856586874</v>
      </c>
      <c r="R27" s="31">
        <f t="shared" si="4"/>
        <v>30.790142512954706</v>
      </c>
    </row>
    <row r="28" spans="1:18" x14ac:dyDescent="0.25">
      <c r="A28" s="28">
        <f>IF('E-Barrows'!A28&lt;'Adj-Barrows'!$B$10,'E-Barrows'!B28," ")</f>
        <v>13.672817835456788</v>
      </c>
      <c r="B28" s="26">
        <f>IF('E-Barrows'!A28&lt;'Adj-Barrows'!$B$10,'E-Barrows'!A28," ")</f>
        <v>46</v>
      </c>
      <c r="C28" s="26">
        <f>IF('E-Barrows'!A28&lt;'Adj-Barrows'!$B$10,'E-Barrows'!C28," ")</f>
        <v>485.67903825660255</v>
      </c>
      <c r="D28" s="28">
        <f>IF('E-Barrows'!A28&lt;'Adj-Barrows'!$B$10,'E-Barrows'!G28," ")</f>
        <v>9.346485190349302</v>
      </c>
      <c r="E28" s="27">
        <f>IF('E-Barrows'!A28&lt;'Adj-Barrows'!$B$10,'E-Barrows'!D28," ")</f>
        <v>0.75079702059752063</v>
      </c>
      <c r="F28" s="27"/>
      <c r="G28" s="92">
        <f t="shared" si="1"/>
        <v>46</v>
      </c>
      <c r="H28" s="28">
        <f>IF('E-Barrows'!A28&lt;'Adj-Barrows'!$B$10,'E-Barrows'!I28," ")</f>
        <v>14.501578714176203</v>
      </c>
      <c r="I28" s="24">
        <f>IF('E-Barrows'!A28&lt;'Adj-Barrows'!$B$10,'E-Barrows'!A28," ")</f>
        <v>46</v>
      </c>
      <c r="J28" s="26">
        <f>IF('E-Barrows'!A28&lt;'Adj-Barrows'!$B$10,'E-Barrows'!J28," ")</f>
        <v>535.40499908732124</v>
      </c>
      <c r="K28" s="28">
        <f>IF('E-Barrows'!A28&lt;'Adj-Barrows'!$B$10,'E-Barrows'!N28," ")</f>
        <v>11.605437554068489</v>
      </c>
      <c r="L28" s="27">
        <f>IF('E-Barrows'!A28&lt;'Adj-Barrows'!$B$10,'E-Barrows'!K28," ")</f>
        <v>0.66656484595643062</v>
      </c>
      <c r="M28" s="28">
        <f>IF('E-Barrows'!A28&lt;'Adj-Barrows'!$B$10,'E-Barrows'!M28," ")</f>
        <v>0.8032301768316138</v>
      </c>
      <c r="N28" s="30">
        <f>IF('E-Barrows'!A28&lt;'Adj-Barrows'!$B$10,1/L28," ")</f>
        <v>1.5002291315935434</v>
      </c>
      <c r="O28" s="19"/>
      <c r="P28" s="31">
        <f t="shared" si="2"/>
        <v>1.1803659728388316</v>
      </c>
      <c r="Q28" s="31">
        <f t="shared" si="3"/>
        <v>1.7708194183945682</v>
      </c>
      <c r="R28" s="31">
        <f t="shared" si="4"/>
        <v>31.970508485793538</v>
      </c>
    </row>
    <row r="29" spans="1:18" x14ac:dyDescent="0.25">
      <c r="A29" s="28">
        <f>IF('E-Barrows'!A29&lt;'Adj-Barrows'!$B$10,'E-Barrows'!B29," ")</f>
        <v>14.169372042038768</v>
      </c>
      <c r="B29" s="26">
        <f>IF('E-Barrows'!A29&lt;'Adj-Barrows'!$B$10,'E-Barrows'!A29," ")</f>
        <v>47</v>
      </c>
      <c r="C29" s="26">
        <f>IF('E-Barrows'!A29&lt;'Adj-Barrows'!$B$10,'E-Barrows'!C29," ")</f>
        <v>496.55420658197966</v>
      </c>
      <c r="D29" s="28">
        <f>IF('E-Barrows'!A29&lt;'Adj-Barrows'!$B$10,'E-Barrows'!G29," ")</f>
        <v>10.016272285170661</v>
      </c>
      <c r="E29" s="27">
        <f>IF('E-Barrows'!A29&lt;'Adj-Barrows'!$B$10,'E-Barrows'!D29," ")</f>
        <v>0.74136126303600558</v>
      </c>
      <c r="F29" s="27"/>
      <c r="G29" s="92">
        <f t="shared" si="1"/>
        <v>47</v>
      </c>
      <c r="H29" s="28">
        <f>IF('E-Barrows'!A29&lt;'Adj-Barrows'!$B$10,'E-Barrows'!I29," ")</f>
        <v>15.048972329260261</v>
      </c>
      <c r="I29" s="24">
        <f>IF('E-Barrows'!A29&lt;'Adj-Barrows'!$B$10,'E-Barrows'!A29," ")</f>
        <v>47</v>
      </c>
      <c r="J29" s="26">
        <f>IF('E-Barrows'!A29&lt;'Adj-Barrows'!$B$10,'E-Barrows'!J29," ")</f>
        <v>547.39361508405841</v>
      </c>
      <c r="K29" s="28">
        <f>IF('E-Barrows'!A29&lt;'Adj-Barrows'!$B$10,'E-Barrows'!N29," ")</f>
        <v>12.437105517496754</v>
      </c>
      <c r="L29" s="27">
        <f>IF('E-Barrows'!A29&lt;'Adj-Barrows'!$B$10,'E-Barrows'!K29," ")</f>
        <v>0.65818768926437565</v>
      </c>
      <c r="M29" s="28">
        <f>IF('E-Barrows'!A29&lt;'Adj-Barrows'!$B$10,'E-Barrows'!M29," ")</f>
        <v>0.83166796342826399</v>
      </c>
      <c r="N29" s="30">
        <f>IF('E-Barrows'!A29&lt;'Adj-Barrows'!$B$10,1/L29," ")</f>
        <v>1.5193234639767439</v>
      </c>
      <c r="O29" s="19"/>
      <c r="P29" s="31">
        <f t="shared" si="2"/>
        <v>1.2067963468698963</v>
      </c>
      <c r="Q29" s="31">
        <f t="shared" si="3"/>
        <v>1.833514006040851</v>
      </c>
      <c r="R29" s="31">
        <f t="shared" si="4"/>
        <v>33.177304832663438</v>
      </c>
    </row>
    <row r="30" spans="1:18" x14ac:dyDescent="0.25">
      <c r="A30" s="28">
        <f>IF('E-Barrows'!A30&lt;'Adj-Barrows'!$B$10,'E-Barrows'!B30," ")</f>
        <v>14.677044930206504</v>
      </c>
      <c r="B30" s="26">
        <f>IF('E-Barrows'!A30&lt;'Adj-Barrows'!$B$10,'E-Barrows'!A30," ")</f>
        <v>48</v>
      </c>
      <c r="C30" s="26">
        <f>IF('E-Barrows'!A30&lt;'Adj-Barrows'!$B$10,'E-Barrows'!C30," ")</f>
        <v>507.67288816773612</v>
      </c>
      <c r="D30" s="28">
        <f>IF('E-Barrows'!A30&lt;'Adj-Barrows'!$B$10,'E-Barrows'!G30," ")</f>
        <v>10.708961864282992</v>
      </c>
      <c r="E30" s="27">
        <f>IF('E-Barrows'!A30&lt;'Adj-Barrows'!$B$10,'E-Barrows'!D30," ")</f>
        <v>0.73290100425404048</v>
      </c>
      <c r="F30" s="27"/>
      <c r="G30" s="92">
        <f t="shared" si="1"/>
        <v>48</v>
      </c>
      <c r="H30" s="28">
        <f>IF('E-Barrows'!A30&lt;'Adj-Barrows'!$B$10,'E-Barrows'!I30," ")</f>
        <v>15.60862300556245</v>
      </c>
      <c r="I30" s="24">
        <f>IF('E-Barrows'!A30&lt;'Adj-Barrows'!$B$10,'E-Barrows'!A30," ")</f>
        <v>48</v>
      </c>
      <c r="J30" s="26">
        <f>IF('E-Barrows'!A30&lt;'Adj-Barrows'!$B$10,'E-Barrows'!J30," ")</f>
        <v>559.65067630218937</v>
      </c>
      <c r="K30" s="28">
        <f>IF('E-Barrows'!A30&lt;'Adj-Barrows'!$B$10,'E-Barrows'!N30," ")</f>
        <v>13.297211267521668</v>
      </c>
      <c r="L30" s="27">
        <f>IF('E-Barrows'!A30&lt;'Adj-Barrows'!$B$10,'E-Barrows'!K30," ")</f>
        <v>0.65067658981000631</v>
      </c>
      <c r="M30" s="28">
        <f>IF('E-Barrows'!A30&lt;'Adj-Barrows'!$B$10,'E-Barrows'!M30," ")</f>
        <v>0.86010575002491485</v>
      </c>
      <c r="N30" s="30">
        <f>IF('E-Barrows'!A30&lt;'Adj-Barrows'!$B$10,1/L30," ")</f>
        <v>1.5368618076331808</v>
      </c>
      <c r="O30" s="19"/>
      <c r="P30" s="31">
        <f t="shared" si="2"/>
        <v>1.2338185413087732</v>
      </c>
      <c r="Q30" s="31">
        <f t="shared" si="3"/>
        <v>1.8962085936871353</v>
      </c>
      <c r="R30" s="31">
        <f t="shared" si="4"/>
        <v>34.41112337397221</v>
      </c>
    </row>
    <row r="31" spans="1:18" x14ac:dyDescent="0.25">
      <c r="A31" s="28">
        <f>IF('E-Barrows'!A31&lt;'Adj-Barrows'!$B$10,'E-Barrows'!B31," ")</f>
        <v>15.196085465890738</v>
      </c>
      <c r="B31" s="26">
        <f>IF('E-Barrows'!A31&lt;'Adj-Barrows'!$B$10,'E-Barrows'!A31," ")</f>
        <v>49</v>
      </c>
      <c r="C31" s="26">
        <f>IF('E-Barrows'!A31&lt;'Adj-Barrows'!$B$10,'E-Barrows'!C31," ")</f>
        <v>519.04053568423342</v>
      </c>
      <c r="D31" s="28">
        <f>IF('E-Barrows'!A31&lt;'Adj-Barrows'!$B$10,'E-Barrows'!G31," ")</f>
        <v>11.424553927686288</v>
      </c>
      <c r="E31" s="27">
        <f>IF('E-Barrows'!A31&lt;'Adj-Barrows'!$B$10,'E-Barrows'!D31," ")</f>
        <v>0.72533020170139884</v>
      </c>
      <c r="F31" s="27"/>
      <c r="G31" s="92">
        <f t="shared" si="1"/>
        <v>49</v>
      </c>
      <c r="H31" s="28">
        <f>IF('E-Barrows'!A31&lt;'Adj-Barrows'!$B$10,'E-Barrows'!I31," ")</f>
        <v>16.180805199242954</v>
      </c>
      <c r="I31" s="24">
        <f>IF('E-Barrows'!A31&lt;'Adj-Barrows'!$B$10,'E-Barrows'!A31," ")</f>
        <v>49</v>
      </c>
      <c r="J31" s="26">
        <f>IF('E-Barrows'!A31&lt;'Adj-Barrows'!$B$10,'E-Barrows'!J31," ")</f>
        <v>572.18219368050291</v>
      </c>
      <c r="K31" s="28">
        <f>IF('E-Barrows'!A31&lt;'Adj-Barrows'!$B$10,'E-Barrows'!N31," ")</f>
        <v>14.185754804143226</v>
      </c>
      <c r="L31" s="27">
        <f>IF('E-Barrows'!A31&lt;'Adj-Barrows'!$B$10,'E-Barrows'!K31," ")</f>
        <v>0.64395515818624749</v>
      </c>
      <c r="M31" s="28">
        <f>IF('E-Barrows'!A31&lt;'Adj-Barrows'!$B$10,'E-Barrows'!M31," ")</f>
        <v>0.88854353662155761</v>
      </c>
      <c r="N31" s="30">
        <f>IF('E-Barrows'!A31&lt;'Adj-Barrows'!$B$10,1/L31," ")</f>
        <v>1.5529031599289957</v>
      </c>
      <c r="O31" s="19"/>
      <c r="P31" s="31">
        <f t="shared" si="2"/>
        <v>1.2614458080070943</v>
      </c>
      <c r="Q31" s="31">
        <f t="shared" si="3"/>
        <v>1.9589031813334019</v>
      </c>
      <c r="R31" s="31">
        <f t="shared" si="4"/>
        <v>35.672569181979298</v>
      </c>
    </row>
    <row r="32" spans="1:18" x14ac:dyDescent="0.25">
      <c r="A32" s="28">
        <f>IF('E-Barrows'!A32&lt;'Adj-Barrows'!$B$10,'E-Barrows'!B32," ")</f>
        <v>15.726748189787006</v>
      </c>
      <c r="B32" s="26">
        <f>IF('E-Barrows'!A32&lt;'Adj-Barrows'!$B$10,'E-Barrows'!A32," ")</f>
        <v>50</v>
      </c>
      <c r="C32" s="26">
        <f>IF('E-Barrows'!A32&lt;'Adj-Barrows'!$B$10,'E-Barrows'!C32," ")</f>
        <v>530.66272389626863</v>
      </c>
      <c r="D32" s="28">
        <f>IF('E-Barrows'!A32&lt;'Adj-Barrows'!$B$10,'E-Barrows'!G32," ")</f>
        <v>12.163048475380553</v>
      </c>
      <c r="E32" s="27">
        <f>IF('E-Barrows'!A32&lt;'Adj-Barrows'!$B$10,'E-Barrows'!D32," ")</f>
        <v>0.71857365169872967</v>
      </c>
      <c r="F32" s="27"/>
      <c r="G32" s="92">
        <f t="shared" si="1"/>
        <v>50</v>
      </c>
      <c r="H32" s="28">
        <f>IF('E-Barrows'!A32&lt;'Adj-Barrows'!$B$10,'E-Barrows'!I32," ")</f>
        <v>16.765799511995745</v>
      </c>
      <c r="I32" s="24">
        <f>IF('E-Barrows'!A32&lt;'Adj-Barrows'!$B$10,'E-Barrows'!A32," ")</f>
        <v>50</v>
      </c>
      <c r="J32" s="26">
        <f>IF('E-Barrows'!A32&lt;'Adj-Barrows'!$B$10,'E-Barrows'!J32," ")</f>
        <v>584.99431275278982</v>
      </c>
      <c r="K32" s="28">
        <f>IF('E-Barrows'!A32&lt;'Adj-Barrows'!$B$10,'E-Barrows'!N32," ")</f>
        <v>15.102736127361428</v>
      </c>
      <c r="L32" s="27">
        <f>IF('E-Barrows'!A32&lt;'Adj-Barrows'!$B$10,'E-Barrows'!K32," ")</f>
        <v>0.63795662784026674</v>
      </c>
      <c r="M32" s="28">
        <f>IF('E-Barrows'!A32&lt;'Adj-Barrows'!$B$10,'E-Barrows'!M32," ")</f>
        <v>0.91698132321820192</v>
      </c>
      <c r="N32" s="30">
        <f>IF('E-Barrows'!A32&lt;'Adj-Barrows'!$B$10,1/L32," ")</f>
        <v>1.5675046803501234</v>
      </c>
      <c r="O32" s="19"/>
      <c r="P32" s="31">
        <f t="shared" si="2"/>
        <v>1.2896916955476783</v>
      </c>
      <c r="Q32" s="31">
        <f t="shared" si="3"/>
        <v>2.0215977689796718</v>
      </c>
      <c r="R32" s="31">
        <f t="shared" si="4"/>
        <v>36.962260877526987</v>
      </c>
    </row>
    <row r="33" spans="1:18" x14ac:dyDescent="0.25">
      <c r="A33" s="28">
        <f>IF('E-Barrows'!A33&lt;'Adj-Barrows'!$B$10,'E-Barrows'!B33," ")</f>
        <v>16.269293342183975</v>
      </c>
      <c r="B33" s="26">
        <f>IF('E-Barrows'!A33&lt;'Adj-Barrows'!$B$10,'E-Barrows'!A33," ")</f>
        <v>51</v>
      </c>
      <c r="C33" s="26">
        <f>IF('E-Barrows'!A33&lt;'Adj-Barrows'!$B$10,'E-Barrows'!C33," ")</f>
        <v>542.54515239696843</v>
      </c>
      <c r="D33" s="28">
        <f>IF('E-Barrows'!A33&lt;'Adj-Barrows'!$B$10,'E-Barrows'!G33," ")</f>
        <v>12.924445507365785</v>
      </c>
      <c r="E33" s="27">
        <f>IF('E-Barrows'!A33&lt;'Adj-Barrows'!$B$10,'E-Barrows'!D33," ")</f>
        <v>0.71256536288611527</v>
      </c>
      <c r="F33" s="27"/>
      <c r="G33" s="92">
        <f t="shared" si="1"/>
        <v>51</v>
      </c>
      <c r="H33" s="28">
        <f>IF('E-Barrows'!A33&lt;'Adj-Barrows'!$B$10,'E-Barrows'!I33," ")</f>
        <v>17.363892828657391</v>
      </c>
      <c r="I33" s="24">
        <f>IF('E-Barrows'!A33&lt;'Adj-Barrows'!$B$10,'E-Barrows'!A33," ")</f>
        <v>51</v>
      </c>
      <c r="J33" s="26">
        <f>IF('E-Barrows'!A33&lt;'Adj-Barrows'!$B$10,'E-Barrows'!J33," ")</f>
        <v>598.09331666164519</v>
      </c>
      <c r="K33" s="28">
        <f>IF('E-Barrows'!A33&lt;'Adj-Barrows'!$B$10,'E-Barrows'!N33," ")</f>
        <v>16.048155237176278</v>
      </c>
      <c r="L33" s="27">
        <f>IF('E-Barrows'!A33&lt;'Adj-Barrows'!$B$10,'E-Barrows'!K33," ")</f>
        <v>0.63262241100539607</v>
      </c>
      <c r="M33" s="28">
        <f>IF('E-Barrows'!A33&lt;'Adj-Barrows'!$B$10,'E-Barrows'!M33," ")</f>
        <v>0.94541910981484922</v>
      </c>
      <c r="N33" s="30">
        <f>IF('E-Barrows'!A33&lt;'Adj-Barrows'!$B$10,1/L33," ")</f>
        <v>1.5807217427070732</v>
      </c>
      <c r="O33" s="19"/>
      <c r="P33" s="31">
        <f t="shared" si="2"/>
        <v>1.3185700558888263</v>
      </c>
      <c r="Q33" s="31">
        <f t="shared" si="3"/>
        <v>2.0842923566259484</v>
      </c>
      <c r="R33" s="31">
        <f t="shared" si="4"/>
        <v>38.280830933415814</v>
      </c>
    </row>
    <row r="34" spans="1:18" x14ac:dyDescent="0.25">
      <c r="A34" s="28">
        <f>IF('E-Barrows'!A34&lt;'Adj-Barrows'!$B$10,'E-Barrows'!B34," ")</f>
        <v>16.823986990586896</v>
      </c>
      <c r="B34" s="26">
        <f>IF('E-Barrows'!A34&lt;'Adj-Barrows'!$B$10,'E-Barrows'!A34," ")</f>
        <v>52</v>
      </c>
      <c r="C34" s="26">
        <f>IF('E-Barrows'!A34&lt;'Adj-Barrows'!$B$10,'E-Barrows'!C34," ")</f>
        <v>554.69364840292099</v>
      </c>
      <c r="D34" s="28">
        <f>IF('E-Barrows'!A34&lt;'Adj-Barrows'!$B$10,'E-Barrows'!G34," ")</f>
        <v>13.708745023641992</v>
      </c>
      <c r="E34" s="27">
        <f>IF('E-Barrows'!A34&lt;'Adj-Barrows'!$B$10,'E-Barrows'!D34," ")</f>
        <v>0.7072472147331712</v>
      </c>
      <c r="F34" s="27"/>
      <c r="G34" s="92">
        <f t="shared" si="1"/>
        <v>52</v>
      </c>
      <c r="H34" s="28">
        <f>IF('E-Barrows'!A34&lt;'Adj-Barrows'!$B$10,'E-Barrows'!I34," ")</f>
        <v>17.975378457897168</v>
      </c>
      <c r="I34" s="24">
        <f>IF('E-Barrows'!A34&lt;'Adj-Barrows'!$B$10,'E-Barrows'!A34," ")</f>
        <v>52</v>
      </c>
      <c r="J34" s="26">
        <f>IF('E-Barrows'!A34&lt;'Adj-Barrows'!$B$10,'E-Barrows'!J34," ")</f>
        <v>611.48562923977795</v>
      </c>
      <c r="K34" s="28">
        <f>IF('E-Barrows'!A34&lt;'Adj-Barrows'!$B$10,'E-Barrows'!N34," ")</f>
        <v>17.022012133587779</v>
      </c>
      <c r="L34" s="27">
        <f>IF('E-Barrows'!A34&lt;'Adj-Barrows'!$B$10,'E-Barrows'!K34," ")</f>
        <v>0.62790090771344187</v>
      </c>
      <c r="M34" s="28">
        <f>IF('E-Barrows'!A34&lt;'Adj-Barrows'!$B$10,'E-Barrows'!M34," ")</f>
        <v>0.97385689641150275</v>
      </c>
      <c r="N34" s="30">
        <f>IF('E-Barrows'!A34&lt;'Adj-Barrows'!$B$10,1/L34," ")</f>
        <v>1.5926079859345812</v>
      </c>
      <c r="O34" s="19"/>
      <c r="P34" s="31">
        <f t="shared" si="2"/>
        <v>1.3480950511574477</v>
      </c>
      <c r="Q34" s="31">
        <f t="shared" si="3"/>
        <v>2.1469869442722391</v>
      </c>
      <c r="R34" s="31">
        <f t="shared" si="4"/>
        <v>39.628925984573257</v>
      </c>
    </row>
    <row r="35" spans="1:18" x14ac:dyDescent="0.25">
      <c r="A35" s="28">
        <f>IF('E-Barrows'!A35&lt;'Adj-Barrows'!$B$10,'E-Barrows'!B35," ")</f>
        <v>17.391101160198737</v>
      </c>
      <c r="B35" s="26">
        <f>IF('E-Barrows'!A35&lt;'Adj-Barrows'!$B$10,'E-Barrows'!A35," ")</f>
        <v>53</v>
      </c>
      <c r="C35" s="26">
        <f>IF('E-Barrows'!A35&lt;'Adj-Barrows'!$B$10,'E-Barrows'!C35," ")</f>
        <v>567.11416961184113</v>
      </c>
      <c r="D35" s="28">
        <f>IF('E-Barrows'!A35&lt;'Adj-Barrows'!$B$10,'E-Barrows'!G35," ")</f>
        <v>14.515947024209165</v>
      </c>
      <c r="E35" s="27">
        <f>IF('E-Barrows'!A35&lt;'Adj-Barrows'!$B$10,'E-Barrows'!D35," ")</f>
        <v>0.7025678444966228</v>
      </c>
      <c r="F35" s="27"/>
      <c r="G35" s="92">
        <f t="shared" si="1"/>
        <v>53</v>
      </c>
      <c r="H35" s="28">
        <f>IF('E-Barrows'!A35&lt;'Adj-Barrows'!$B$10,'E-Barrows'!I35," ")</f>
        <v>18.600556276057425</v>
      </c>
      <c r="I35" s="24">
        <f>IF('E-Barrows'!A35&lt;'Adj-Barrows'!$B$10,'E-Barrows'!A35," ")</f>
        <v>53</v>
      </c>
      <c r="J35" s="26">
        <f>IF('E-Barrows'!A35&lt;'Adj-Barrows'!$B$10,'E-Barrows'!J35," ")</f>
        <v>625.17781816025695</v>
      </c>
      <c r="K35" s="28">
        <f>IF('E-Barrows'!A35&lt;'Adj-Barrows'!$B$10,'E-Barrows'!N35," ")</f>
        <v>18.024306816595928</v>
      </c>
      <c r="L35" s="27">
        <f>IF('E-Barrows'!A35&lt;'Adj-Barrows'!$B$10,'E-Barrows'!K35," ")</f>
        <v>0.6237465176248721</v>
      </c>
      <c r="M35" s="28">
        <f>IF('E-Barrows'!A35&lt;'Adj-Barrows'!$B$10,'E-Barrows'!M35," ")</f>
        <v>1.0022946830081474</v>
      </c>
      <c r="N35" s="30">
        <f>IF('E-Barrows'!A35&lt;'Adj-Barrows'!$B$10,1/L35," ")</f>
        <v>1.603215363522736</v>
      </c>
      <c r="O35" s="19"/>
      <c r="P35" s="31">
        <f t="shared" si="2"/>
        <v>1.3782811605941627</v>
      </c>
      <c r="Q35" s="31">
        <f t="shared" si="3"/>
        <v>2.2096815319185095</v>
      </c>
      <c r="R35" s="31">
        <f t="shared" si="4"/>
        <v>41.00720714516742</v>
      </c>
    </row>
    <row r="36" spans="1:18" x14ac:dyDescent="0.25">
      <c r="A36" s="28">
        <f>IF('E-Barrows'!A36&lt;'Adj-Barrows'!$B$10,'E-Barrows'!B36," ")</f>
        <v>17.970913967323071</v>
      </c>
      <c r="B36" s="26">
        <f>IF('E-Barrows'!A36&lt;'Adj-Barrows'!$B$10,'E-Barrows'!A36," ")</f>
        <v>54</v>
      </c>
      <c r="C36" s="26">
        <f>IF('E-Barrows'!A36&lt;'Adj-Barrows'!$B$10,'E-Barrows'!C36," ")</f>
        <v>579.81280712433409</v>
      </c>
      <c r="D36" s="28">
        <f>IF('E-Barrows'!A36&lt;'Adj-Barrows'!$B$10,'E-Barrows'!G36," ")</f>
        <v>15.346051509067308</v>
      </c>
      <c r="E36" s="27">
        <f>IF('E-Barrows'!A36&lt;'Adj-Barrows'!$B$10,'E-Barrows'!D36," ")</f>
        <v>0.69848171850730134</v>
      </c>
      <c r="F36" s="27"/>
      <c r="G36" s="92">
        <f t="shared" si="1"/>
        <v>54</v>
      </c>
      <c r="H36" s="28">
        <f>IF('E-Barrows'!A36&lt;'Adj-Barrows'!$B$10,'E-Barrows'!I36," ")</f>
        <v>19.239732874214841</v>
      </c>
      <c r="I36" s="24">
        <f>IF('E-Barrows'!A36&lt;'Adj-Barrows'!$B$10,'E-Barrows'!A36," ")</f>
        <v>54</v>
      </c>
      <c r="J36" s="26">
        <f>IF('E-Barrows'!A36&lt;'Adj-Barrows'!$B$10,'E-Barrows'!J36," ")</f>
        <v>639.17659815741717</v>
      </c>
      <c r="K36" s="28">
        <f>IF('E-Barrows'!A36&lt;'Adj-Barrows'!$B$10,'E-Barrows'!N36," ")</f>
        <v>19.055039286200724</v>
      </c>
      <c r="L36" s="27">
        <f>IF('E-Barrows'!A36&lt;'Adj-Barrows'!$B$10,'E-Barrows'!K36," ")</f>
        <v>0.62011881550844261</v>
      </c>
      <c r="M36" s="28">
        <f>IF('E-Barrows'!A36&lt;'Adj-Barrows'!$B$10,'E-Barrows'!M36," ")</f>
        <v>1.0307324696047948</v>
      </c>
      <c r="N36" s="30">
        <f>IF('E-Barrows'!A36&lt;'Adj-Barrows'!$B$10,1/L36," ")</f>
        <v>1.6125941916148576</v>
      </c>
      <c r="O36" s="19"/>
      <c r="P36" s="31">
        <f t="shared" si="2"/>
        <v>1.4091431876541864</v>
      </c>
      <c r="Q36" s="31">
        <f t="shared" si="3"/>
        <v>2.2723761195647865</v>
      </c>
      <c r="R36" s="31">
        <f t="shared" si="4"/>
        <v>42.416350332821601</v>
      </c>
    </row>
    <row r="37" spans="1:18" x14ac:dyDescent="0.25">
      <c r="A37" s="28">
        <f>IF('E-Barrows'!A37&lt;'Adj-Barrows'!$B$10,'E-Barrows'!B37," ")</f>
        <v>18.563709755753983</v>
      </c>
      <c r="B37" s="26">
        <f>IF('E-Barrows'!A37&lt;'Adj-Barrows'!$B$10,'E-Barrows'!A37," ")</f>
        <v>55</v>
      </c>
      <c r="C37" s="26">
        <f>IF('E-Barrows'!A37&lt;'Adj-Barrows'!$B$10,'E-Barrows'!C37," ")</f>
        <v>592.79578843091235</v>
      </c>
      <c r="D37" s="28">
        <f>IF('E-Barrows'!A37&lt;'Adj-Barrows'!$B$10,'E-Barrows'!G37," ")</f>
        <v>16.201049998589543</v>
      </c>
      <c r="E37" s="27">
        <f>IF('E-Barrows'!A37&lt;'Adj-Barrows'!$B$10,'E-Barrows'!D37," ")</f>
        <v>0.69332963238585466</v>
      </c>
      <c r="F37" s="27"/>
      <c r="G37" s="92">
        <f t="shared" si="1"/>
        <v>55</v>
      </c>
      <c r="H37" s="28">
        <f>IF('E-Barrows'!A37&lt;'Adj-Barrows'!$B$10,'E-Barrows'!I37," ")</f>
        <v>19.89322170853454</v>
      </c>
      <c r="I37" s="24">
        <f>IF('E-Barrows'!A37&lt;'Adj-Barrows'!$B$10,'E-Barrows'!A37," ")</f>
        <v>55</v>
      </c>
      <c r="J37" s="26">
        <f>IF('E-Barrows'!A37&lt;'Adj-Barrows'!$B$10,'E-Barrows'!J37," ")</f>
        <v>653.48883431970069</v>
      </c>
      <c r="K37" s="28">
        <f>IF('E-Barrows'!A37&lt;'Adj-Barrows'!$B$10,'E-Barrows'!N37," ")</f>
        <v>20.116682393410564</v>
      </c>
      <c r="L37" s="27">
        <f>IF('E-Barrows'!A37&lt;'Adj-Barrows'!$B$10,'E-Barrows'!K37," ")</f>
        <v>0.61554474369185064</v>
      </c>
      <c r="M37" s="28">
        <f>IF('E-Barrows'!A37&lt;'Adj-Barrows'!$B$10,'E-Barrows'!M37," ")</f>
        <v>1.0616431072098398</v>
      </c>
      <c r="N37" s="30">
        <f>IF('E-Barrows'!A37&lt;'Adj-Barrows'!$B$10,1/L37," ")</f>
        <v>1.6245772711863371</v>
      </c>
      <c r="O37" s="19"/>
      <c r="P37" s="31">
        <f t="shared" si="2"/>
        <v>1.4406962672667987</v>
      </c>
      <c r="Q37" s="31">
        <f t="shared" si="3"/>
        <v>2.3405224104846378</v>
      </c>
      <c r="R37" s="31">
        <f t="shared" si="4"/>
        <v>43.857046600088402</v>
      </c>
    </row>
    <row r="38" spans="1:18" x14ac:dyDescent="0.25">
      <c r="A38" s="28">
        <f>IF('E-Barrows'!A38&lt;'Adj-Barrows'!$B$10,'E-Barrows'!B38," ")</f>
        <v>19.169779236220077</v>
      </c>
      <c r="B38" s="26">
        <f>IF('E-Barrows'!A38&lt;'Adj-Barrows'!$B$10,'E-Barrows'!A38," ")</f>
        <v>56</v>
      </c>
      <c r="C38" s="26">
        <f>IF('E-Barrows'!A38&lt;'Adj-Barrows'!$B$10,'E-Barrows'!C38," ")</f>
        <v>606.0694804660933</v>
      </c>
      <c r="D38" s="28">
        <f>IF('E-Barrows'!A38&lt;'Adj-Barrows'!$B$10,'E-Barrows'!G38," ")</f>
        <v>17.080942492775883</v>
      </c>
      <c r="E38" s="27">
        <f>IF('E-Barrows'!A38&lt;'Adj-Barrows'!$B$10,'E-Barrows'!D38," ")</f>
        <v>0.68879946637860923</v>
      </c>
      <c r="F38" s="27"/>
      <c r="G38" s="92">
        <f t="shared" si="1"/>
        <v>56</v>
      </c>
      <c r="H38" s="28">
        <f>IF('E-Barrows'!A38&lt;'Adj-Barrows'!$B$10,'E-Barrows'!I38," ")</f>
        <v>20.561343253990987</v>
      </c>
      <c r="I38" s="24">
        <f>IF('E-Barrows'!A38&lt;'Adj-Barrows'!$B$10,'E-Barrows'!A38," ")</f>
        <v>56</v>
      </c>
      <c r="J38" s="26">
        <f>IF('E-Barrows'!A38&lt;'Adj-Barrows'!$B$10,'E-Barrows'!J38," ")</f>
        <v>668.1215454564466</v>
      </c>
      <c r="K38" s="28">
        <f>IF('E-Barrows'!A38&lt;'Adj-Barrows'!$B$10,'E-Barrows'!N38," ")</f>
        <v>21.209236138225464</v>
      </c>
      <c r="L38" s="27">
        <f>IF('E-Barrows'!A38&lt;'Adj-Barrows'!$B$10,'E-Barrows'!K38," ")</f>
        <v>0.61152281855904511</v>
      </c>
      <c r="M38" s="28">
        <f>IF('E-Barrows'!A38&lt;'Adj-Barrows'!$B$10,'E-Barrows'!M38," ")</f>
        <v>1.0925537448148988</v>
      </c>
      <c r="N38" s="30">
        <f>IF('E-Barrows'!A38&lt;'Adj-Barrows'!$B$10,1/L38," ")</f>
        <v>1.6352619553205532</v>
      </c>
      <c r="O38" s="19"/>
      <c r="P38" s="31">
        <f t="shared" si="2"/>
        <v>1.4729558732578474</v>
      </c>
      <c r="Q38" s="31">
        <f t="shared" si="3"/>
        <v>2.4086687014045207</v>
      </c>
      <c r="R38" s="31">
        <f t="shared" si="4"/>
        <v>45.330002473346248</v>
      </c>
    </row>
    <row r="39" spans="1:18" x14ac:dyDescent="0.25">
      <c r="A39" s="28">
        <f>IF('E-Barrows'!A39&lt;'Adj-Barrows'!$B$10,'E-Barrows'!B39," ")</f>
        <v>19.789419628950778</v>
      </c>
      <c r="B39" s="26">
        <f>IF('E-Barrows'!A39&lt;'Adj-Barrows'!$B$10,'E-Barrows'!A39," ")</f>
        <v>57</v>
      </c>
      <c r="C39" s="26">
        <f>IF('E-Barrows'!A39&lt;'Adj-Barrows'!$B$10,'E-Barrows'!C39," ")</f>
        <v>619.64039273070171</v>
      </c>
      <c r="D39" s="28">
        <f>IF('E-Barrows'!A39&lt;'Adj-Barrows'!$B$10,'E-Barrows'!G39," ")</f>
        <v>17.990707792559132</v>
      </c>
      <c r="E39" s="27">
        <f>IF('E-Barrows'!A39&lt;'Adj-Barrows'!$B$10,'E-Barrows'!D39," ")</f>
        <v>0.68109917236712658</v>
      </c>
      <c r="F39" s="27"/>
      <c r="G39" s="92">
        <f t="shared" si="1"/>
        <v>57</v>
      </c>
      <c r="H39" s="28">
        <f>IF('E-Barrows'!A39&lt;'Adj-Barrows'!$B$10,'E-Barrows'!I39," ")</f>
        <v>21.244425161530856</v>
      </c>
      <c r="I39" s="24">
        <f>IF('E-Barrows'!A39&lt;'Adj-Barrows'!$B$10,'E-Barrows'!A39," ")</f>
        <v>57</v>
      </c>
      <c r="J39" s="26">
        <f>IF('E-Barrows'!A39&lt;'Adj-Barrows'!$B$10,'E-Barrows'!J39," ")</f>
        <v>683.08190753986833</v>
      </c>
      <c r="K39" s="28">
        <f>IF('E-Barrows'!A39&lt;'Adj-Barrows'!$B$10,'E-Barrows'!N39," ")</f>
        <v>22.338882648166418</v>
      </c>
      <c r="L39" s="27">
        <f>IF('E-Barrows'!A39&lt;'Adj-Barrows'!$B$10,'E-Barrows'!K39," ")</f>
        <v>0.60468642316752075</v>
      </c>
      <c r="M39" s="28">
        <f>IF('E-Barrows'!A39&lt;'Adj-Barrows'!$B$10,'E-Barrows'!M39," ")</f>
        <v>1.1296465099409534</v>
      </c>
      <c r="N39" s="30">
        <f>IF('E-Barrows'!A39&lt;'Adj-Barrows'!$B$10,1/L39," ")</f>
        <v>1.65374971503695</v>
      </c>
      <c r="O39" s="19"/>
      <c r="P39" s="31">
        <f t="shared" si="2"/>
        <v>1.5059378259380074</v>
      </c>
      <c r="Q39" s="31">
        <f t="shared" si="3"/>
        <v>2.4904442505083439</v>
      </c>
      <c r="R39" s="31">
        <f t="shared" si="4"/>
        <v>46.835940299284253</v>
      </c>
    </row>
    <row r="40" spans="1:18" x14ac:dyDescent="0.25">
      <c r="A40" s="28">
        <f>IF('E-Barrows'!A40&lt;'Adj-Barrows'!$B$10,'E-Barrows'!B40," ")</f>
        <v>20.422934809435009</v>
      </c>
      <c r="B40" s="26">
        <f>IF('E-Barrows'!A40&lt;'Adj-Barrows'!$B$10,'E-Barrows'!A40," ")</f>
        <v>58</v>
      </c>
      <c r="C40" s="26">
        <f>IF('E-Barrows'!A40&lt;'Adj-Barrows'!$B$10,'E-Barrows'!C40," ")</f>
        <v>633.51518048423122</v>
      </c>
      <c r="D40" s="28">
        <f>IF('E-Barrows'!A40&lt;'Adj-Barrows'!$B$10,'E-Barrows'!G40," ")</f>
        <v>18.930345897939297</v>
      </c>
      <c r="E40" s="27">
        <f>IF('E-Barrows'!A40&lt;'Adj-Barrows'!$B$10,'E-Barrows'!D40," ")</f>
        <v>0.67421188738181093</v>
      </c>
      <c r="F40" s="27"/>
      <c r="G40" s="92">
        <f t="shared" si="1"/>
        <v>58</v>
      </c>
      <c r="H40" s="28">
        <f>IF('E-Barrows'!A40&lt;'Adj-Barrows'!$B$10,'E-Barrows'!I40," ")</f>
        <v>21.942802418755118</v>
      </c>
      <c r="I40" s="24">
        <f>IF('E-Barrows'!A40&lt;'Adj-Barrows'!$B$10,'E-Barrows'!A40," ")</f>
        <v>58</v>
      </c>
      <c r="J40" s="26">
        <f>IF('E-Barrows'!A40&lt;'Adj-Barrows'!$B$10,'E-Barrows'!J40," ")</f>
        <v>698.37725722426308</v>
      </c>
      <c r="K40" s="28">
        <f>IF('E-Barrows'!A40&lt;'Adj-Barrows'!$B$10,'E-Barrows'!N40," ")</f>
        <v>23.505621923233434</v>
      </c>
      <c r="L40" s="27">
        <f>IF('E-Barrows'!A40&lt;'Adj-Barrows'!$B$10,'E-Barrows'!K40," ")</f>
        <v>0.59857182504133033</v>
      </c>
      <c r="M40" s="28">
        <f>IF('E-Barrows'!A40&lt;'Adj-Barrows'!$B$10,'E-Barrows'!M40," ")</f>
        <v>1.1667392750670169</v>
      </c>
      <c r="N40" s="30">
        <f>IF('E-Barrows'!A40&lt;'Adj-Barrows'!$B$10,1/L40," ")</f>
        <v>1.6706432848404646</v>
      </c>
      <c r="O40" s="19"/>
      <c r="P40" s="31">
        <f t="shared" si="2"/>
        <v>1.5396582998613118</v>
      </c>
      <c r="Q40" s="31">
        <f t="shared" si="3"/>
        <v>2.5722197996121872</v>
      </c>
      <c r="R40" s="31">
        <f t="shared" si="4"/>
        <v>48.375598599145569</v>
      </c>
    </row>
    <row r="41" spans="1:18" x14ac:dyDescent="0.25">
      <c r="A41" s="28">
        <f>IF('E-Barrows'!A41&lt;'Adj-Barrows'!$B$10,'E-Barrows'!B41," ")</f>
        <v>21.070635457443586</v>
      </c>
      <c r="B41" s="26">
        <f>IF('E-Barrows'!A41&lt;'Adj-Barrows'!$B$10,'E-Barrows'!A41," ")</f>
        <v>59</v>
      </c>
      <c r="C41" s="26">
        <f>IF('E-Barrows'!A41&lt;'Adj-Barrows'!$B$10,'E-Barrows'!C41," ")</f>
        <v>647.70064800857699</v>
      </c>
      <c r="D41" s="28">
        <f>IF('E-Barrows'!A41&lt;'Adj-Barrows'!$B$10,'E-Barrows'!G41," ")</f>
        <v>19.899856808916383</v>
      </c>
      <c r="E41" s="27">
        <f>IF('E-Barrows'!A41&lt;'Adj-Barrows'!$B$10,'E-Barrows'!D41," ")</f>
        <v>0.66806947779042103</v>
      </c>
      <c r="F41" s="27"/>
      <c r="G41" s="92">
        <f t="shared" si="1"/>
        <v>59</v>
      </c>
      <c r="H41" s="28">
        <f>IF('E-Barrows'!A41&lt;'Adj-Barrows'!$B$10,'E-Barrows'!I41," ")</f>
        <v>22.65681751419902</v>
      </c>
      <c r="I41" s="24">
        <f>IF('E-Barrows'!A41&lt;'Adj-Barrows'!$B$10,'E-Barrows'!A41," ")</f>
        <v>59</v>
      </c>
      <c r="J41" s="26">
        <f>IF('E-Barrows'!A41&lt;'Adj-Barrows'!$B$10,'E-Barrows'!J41," ")</f>
        <v>714.0150954438999</v>
      </c>
      <c r="K41" s="28">
        <f>IF('E-Barrows'!A41&lt;'Adj-Barrows'!$B$10,'E-Barrows'!N41," ")</f>
        <v>24.709453963426515</v>
      </c>
      <c r="L41" s="27">
        <f>IF('E-Barrows'!A41&lt;'Adj-Barrows'!$B$10,'E-Barrows'!K41," ")</f>
        <v>0.59311853448374707</v>
      </c>
      <c r="M41" s="28">
        <f>IF('E-Barrows'!A41&lt;'Adj-Barrows'!$B$10,'E-Barrows'!M41," ")</f>
        <v>1.2038320401930815</v>
      </c>
      <c r="N41" s="30">
        <f>IF('E-Barrows'!A41&lt;'Adj-Barrows'!$B$10,1/L41," ")</f>
        <v>1.6860036263584384</v>
      </c>
      <c r="O41" s="19"/>
      <c r="P41" s="31">
        <f t="shared" si="2"/>
        <v>1.5741338317571345</v>
      </c>
      <c r="Q41" s="31">
        <f t="shared" si="3"/>
        <v>2.6539953487160322</v>
      </c>
      <c r="R41" s="31">
        <f t="shared" si="4"/>
        <v>49.949732430902706</v>
      </c>
    </row>
    <row r="42" spans="1:18" x14ac:dyDescent="0.25">
      <c r="A42" s="28">
        <f>IF('E-Barrows'!A42&lt;'Adj-Barrows'!$B$10,'E-Barrows'!B42," ")</f>
        <v>21.732468268793319</v>
      </c>
      <c r="B42" s="26">
        <f>IF('E-Barrows'!A42&lt;'Adj-Barrows'!$B$10,'E-Barrows'!A42," ")</f>
        <v>60</v>
      </c>
      <c r="C42" s="26">
        <f>IF('E-Barrows'!A42&lt;'Adj-Barrows'!$B$10,'E-Barrows'!C42," ")</f>
        <v>661.83281134973276</v>
      </c>
      <c r="D42" s="28">
        <f>IF('E-Barrows'!A42&lt;'Adj-Barrows'!$B$10,'E-Barrows'!G42," ")</f>
        <v>20.892366021688794</v>
      </c>
      <c r="E42" s="27">
        <f>IF('E-Barrows'!A42&lt;'Adj-Barrows'!$B$10,'E-Barrows'!D42," ")</f>
        <v>0.666827877094472</v>
      </c>
      <c r="F42" s="27"/>
      <c r="G42" s="92">
        <f t="shared" si="1"/>
        <v>60</v>
      </c>
      <c r="H42" s="28">
        <f>IF('E-Barrows'!A42&lt;'Adj-Barrows'!$B$10,'E-Barrows'!I42," ")</f>
        <v>23.386411686162123</v>
      </c>
      <c r="I42" s="24">
        <f>IF('E-Barrows'!A42&lt;'Adj-Barrows'!$B$10,'E-Barrows'!A42," ")</f>
        <v>60</v>
      </c>
      <c r="J42" s="26">
        <f>IF('E-Barrows'!A42&lt;'Adj-Barrows'!$B$10,'E-Barrows'!J42," ")</f>
        <v>729.5941719631046</v>
      </c>
      <c r="K42" s="28">
        <f>IF('E-Barrows'!A42&lt;'Adj-Barrows'!$B$10,'E-Barrows'!N42," ")</f>
        <v>25.941842765856901</v>
      </c>
      <c r="L42" s="27">
        <f>IF('E-Barrows'!A42&lt;'Adj-Barrows'!$B$10,'E-Barrows'!K42," ")</f>
        <v>0.5920162293947151</v>
      </c>
      <c r="M42" s="28">
        <f>IF('E-Barrows'!A42&lt;'Adj-Barrows'!$B$10,'E-Barrows'!M42," ")</f>
        <v>1.2323888024303842</v>
      </c>
      <c r="N42" s="30">
        <f>IF('E-Barrows'!A42&lt;'Adj-Barrows'!$B$10,1/L42," ")</f>
        <v>1.6891428821510732</v>
      </c>
      <c r="O42" s="19"/>
      <c r="P42" s="31">
        <f t="shared" si="2"/>
        <v>1.6084798162788863</v>
      </c>
      <c r="Q42" s="31">
        <f t="shared" si="3"/>
        <v>2.7169522327511464</v>
      </c>
      <c r="R42" s="31">
        <f t="shared" si="4"/>
        <v>51.558212247181586</v>
      </c>
    </row>
    <row r="43" spans="1:18" x14ac:dyDescent="0.25">
      <c r="A43" s="28">
        <f>IF('E-Barrows'!A43&lt;'Adj-Barrows'!$B$10,'E-Barrows'!B43," ")</f>
        <v>22.432141441209328</v>
      </c>
      <c r="B43" s="26">
        <f>IF('E-Barrows'!A43&lt;'Adj-Barrows'!$B$10,'E-Barrows'!A43," ")</f>
        <v>61</v>
      </c>
      <c r="C43" s="26">
        <f>IF('E-Barrows'!A43&lt;'Adj-Barrows'!$B$10,'E-Barrows'!C43," ")</f>
        <v>699.67317241600927</v>
      </c>
      <c r="D43" s="28">
        <f>IF('E-Barrows'!A43&lt;'Adj-Barrows'!$B$10,'E-Barrows'!G43," ")</f>
        <v>21.964873815651824</v>
      </c>
      <c r="E43" s="27">
        <f>IF('E-Barrows'!A43&lt;'Adj-Barrows'!$B$10,'E-Barrows'!D43," ")</f>
        <v>0.65237117749106799</v>
      </c>
      <c r="F43" s="27"/>
      <c r="G43" s="92">
        <f t="shared" si="1"/>
        <v>61</v>
      </c>
      <c r="H43" s="28">
        <f>IF('E-Barrows'!A43&lt;'Adj-Barrows'!$B$10,'E-Barrows'!I43," ")</f>
        <v>24.157720482159402</v>
      </c>
      <c r="I43" s="24">
        <f>IF('E-Barrows'!A43&lt;'Adj-Barrows'!$B$10,'E-Barrows'!A43," ")</f>
        <v>61</v>
      </c>
      <c r="J43" s="26">
        <f>IF('E-Barrows'!A43&lt;'Adj-Barrows'!$B$10,'E-Barrows'!J43," ")</f>
        <v>771.30879599727928</v>
      </c>
      <c r="K43" s="28">
        <f>IF('E-Barrows'!A43&lt;'Adj-Barrows'!$B$10,'E-Barrows'!N43," ")</f>
        <v>27.273565009630609</v>
      </c>
      <c r="L43" s="27">
        <f>IF('E-Barrows'!A43&lt;'Adj-Barrows'!$B$10,'E-Barrows'!K43," ")</f>
        <v>0.57918143186646664</v>
      </c>
      <c r="M43" s="28">
        <f>IF('E-Barrows'!A43&lt;'Adj-Barrows'!$B$10,'E-Barrows'!M43," ")</f>
        <v>1.3317222437737068</v>
      </c>
      <c r="N43" s="30">
        <f>IF('E-Barrows'!A43&lt;'Adj-Barrows'!$B$10,1/L43," ")</f>
        <v>1.7265746879650576</v>
      </c>
      <c r="O43" s="19"/>
      <c r="P43" s="31">
        <f t="shared" si="2"/>
        <v>1.7004448200865443</v>
      </c>
      <c r="Q43" s="31">
        <f t="shared" si="3"/>
        <v>2.9359449846427239</v>
      </c>
      <c r="R43" s="31">
        <f t="shared" si="4"/>
        <v>53.258657067268132</v>
      </c>
    </row>
    <row r="44" spans="1:18" x14ac:dyDescent="0.25">
      <c r="A44" s="28">
        <f>IF('E-Barrows'!A44&lt;'Adj-Barrows'!$B$10,'E-Barrows'!B44," ")</f>
        <v>23.142320640931892</v>
      </c>
      <c r="B44" s="26">
        <f>IF('E-Barrows'!A44&lt;'Adj-Barrows'!$B$10,'E-Barrows'!A44," ")</f>
        <v>62</v>
      </c>
      <c r="C44" s="26">
        <f>IF('E-Barrows'!A44&lt;'Adj-Barrows'!$B$10,'E-Barrows'!C44," ")</f>
        <v>710.17919972256391</v>
      </c>
      <c r="D44" s="28">
        <f>IF('E-Barrows'!A44&lt;'Adj-Barrows'!$B$10,'E-Barrows'!G44," ")</f>
        <v>23.067881518581803</v>
      </c>
      <c r="E44" s="27">
        <f>IF('E-Barrows'!A44&lt;'Adj-Barrows'!$B$10,'E-Barrows'!D44," ")</f>
        <v>0.6438569720193934</v>
      </c>
      <c r="F44" s="27"/>
      <c r="G44" s="92">
        <f t="shared" si="1"/>
        <v>62</v>
      </c>
      <c r="H44" s="28">
        <f>IF('E-Barrows'!A44&lt;'Adj-Barrows'!$B$10,'E-Barrows'!I44," ")</f>
        <v>24.940610958849899</v>
      </c>
      <c r="I44" s="24">
        <f>IF('E-Barrows'!A44&lt;'Adj-Barrows'!$B$10,'E-Barrows'!A44," ")</f>
        <v>62</v>
      </c>
      <c r="J44" s="26">
        <f>IF('E-Barrows'!A44&lt;'Adj-Barrows'!$B$10,'E-Barrows'!J44," ")</f>
        <v>782.89047669049739</v>
      </c>
      <c r="K44" s="28">
        <f>IF('E-Barrows'!A44&lt;'Adj-Barrows'!$B$10,'E-Barrows'!N44," ")</f>
        <v>28.643158686537941</v>
      </c>
      <c r="L44" s="27">
        <f>IF('E-Barrows'!A44&lt;'Adj-Barrows'!$B$10,'E-Barrows'!K44," ")</f>
        <v>0.57162243801996526</v>
      </c>
      <c r="M44" s="28">
        <f>IF('E-Barrows'!A44&lt;'Adj-Barrows'!$B$10,'E-Barrows'!M44," ")</f>
        <v>1.3695936769073314</v>
      </c>
      <c r="N44" s="30">
        <f>IF('E-Barrows'!A44&lt;'Adj-Barrows'!$B$10,1/L44," ")</f>
        <v>1.7494064849236597</v>
      </c>
      <c r="O44" s="19"/>
      <c r="P44" s="31">
        <f t="shared" si="2"/>
        <v>1.7259780553418422</v>
      </c>
      <c r="Q44" s="31">
        <f t="shared" si="3"/>
        <v>3.0194372028509457</v>
      </c>
      <c r="R44" s="31">
        <f t="shared" si="4"/>
        <v>54.984635122609973</v>
      </c>
    </row>
    <row r="45" spans="1:18" x14ac:dyDescent="0.25">
      <c r="A45" s="28">
        <f>IF('E-Barrows'!A45&lt;'Adj-Barrows'!$B$10,'E-Barrows'!B45," ")</f>
        <v>23.862867540511832</v>
      </c>
      <c r="B45" s="26">
        <f>IF('E-Barrows'!A45&lt;'Adj-Barrows'!$B$10,'E-Barrows'!A45," ")</f>
        <v>63</v>
      </c>
      <c r="C45" s="26">
        <f>IF('E-Barrows'!A45&lt;'Adj-Barrows'!$B$10,'E-Barrows'!C45," ")</f>
        <v>720.54689957994003</v>
      </c>
      <c r="D45" s="28">
        <f>IF('E-Barrows'!A45&lt;'Adj-Barrows'!$B$10,'E-Barrows'!G45," ")</f>
        <v>24.201526566009559</v>
      </c>
      <c r="E45" s="27">
        <f>IF('E-Barrows'!A45&lt;'Adj-Barrows'!$B$10,'E-Barrows'!D45," ")</f>
        <v>0.63560185899004595</v>
      </c>
      <c r="F45" s="27"/>
      <c r="G45" s="92">
        <f t="shared" si="1"/>
        <v>63</v>
      </c>
      <c r="H45" s="28">
        <f>IF('E-Barrows'!A45&lt;'Adj-Barrows'!$B$10,'E-Barrows'!I45," ")</f>
        <v>25.734930626210435</v>
      </c>
      <c r="I45" s="24">
        <f>IF('E-Barrows'!A45&lt;'Adj-Barrows'!$B$10,'E-Barrows'!A45," ")</f>
        <v>63</v>
      </c>
      <c r="J45" s="26">
        <f>IF('E-Barrows'!A45&lt;'Adj-Barrows'!$B$10,'E-Barrows'!J45," ")</f>
        <v>794.31966736053687</v>
      </c>
      <c r="K45" s="28">
        <f>IF('E-Barrows'!A45&lt;'Adj-Barrows'!$B$10,'E-Barrows'!N45," ")</f>
        <v>30.05079444890843</v>
      </c>
      <c r="L45" s="27">
        <f>IF('E-Barrows'!A45&lt;'Adj-Barrows'!$B$10,'E-Barrows'!K45," ")</f>
        <v>0.56429346894603283</v>
      </c>
      <c r="M45" s="28">
        <f>IF('E-Barrows'!A45&lt;'Adj-Barrows'!$B$10,'E-Barrows'!M45," ")</f>
        <v>1.4076357623704892</v>
      </c>
      <c r="N45" s="30">
        <f>IF('E-Barrows'!A45&lt;'Adj-Barrows'!$B$10,1/L45," ")</f>
        <v>1.7721275453847876</v>
      </c>
      <c r="O45" s="19"/>
      <c r="P45" s="31">
        <f t="shared" si="2"/>
        <v>1.7511751076424342</v>
      </c>
      <c r="Q45" s="31">
        <f t="shared" si="3"/>
        <v>3.103305645045328</v>
      </c>
      <c r="R45" s="31">
        <f t="shared" si="4"/>
        <v>56.735810230252405</v>
      </c>
    </row>
    <row r="46" spans="1:18" x14ac:dyDescent="0.25">
      <c r="A46" s="28">
        <f>IF('E-Barrows'!A46&lt;'Adj-Barrows'!$B$10,'E-Barrows'!B46," ")</f>
        <v>24.593640955825403</v>
      </c>
      <c r="B46" s="26">
        <f>IF('E-Barrows'!A46&lt;'Adj-Barrows'!$B$10,'E-Barrows'!A46," ")</f>
        <v>64</v>
      </c>
      <c r="C46" s="26">
        <f>IF('E-Barrows'!A46&lt;'Adj-Barrows'!$B$10,'E-Barrows'!C46," ")</f>
        <v>730.77341531357115</v>
      </c>
      <c r="D46" s="28">
        <f>IF('E-Barrows'!A46&lt;'Adj-Barrows'!$B$10,'E-Barrows'!G46," ")</f>
        <v>25.365923985876233</v>
      </c>
      <c r="E46" s="27">
        <f>IF('E-Barrows'!A46&lt;'Adj-Barrows'!$B$10,'E-Barrows'!D46," ")</f>
        <v>0.62759793421497501</v>
      </c>
      <c r="F46" s="27"/>
      <c r="G46" s="92">
        <f t="shared" si="1"/>
        <v>64</v>
      </c>
      <c r="H46" s="28">
        <f>IF('E-Barrows'!A46&lt;'Adj-Barrows'!$B$10,'E-Barrows'!I46," ")</f>
        <v>26.540523845064332</v>
      </c>
      <c r="I46" s="24">
        <f>IF('E-Barrows'!A46&lt;'Adj-Barrows'!$B$10,'E-Barrows'!A46," ")</f>
        <v>64</v>
      </c>
      <c r="J46" s="26">
        <f>IF('E-Barrows'!A46&lt;'Adj-Barrows'!$B$10,'E-Barrows'!J46," ")</f>
        <v>805.59321885389659</v>
      </c>
      <c r="K46" s="28">
        <f>IF('E-Barrows'!A46&lt;'Adj-Barrows'!$B$10,'E-Barrows'!N46," ")</f>
        <v>31.496615125790722</v>
      </c>
      <c r="L46" s="27">
        <f>IF('E-Barrows'!A46&lt;'Adj-Barrows'!$B$10,'E-Barrows'!K46," ")</f>
        <v>0.5571875072301804</v>
      </c>
      <c r="M46" s="28">
        <f>IF('E-Barrows'!A46&lt;'Adj-Barrows'!$B$10,'E-Barrows'!M46," ")</f>
        <v>1.4458206768822923</v>
      </c>
      <c r="N46" s="30">
        <f>IF('E-Barrows'!A46&lt;'Adj-Barrows'!$B$10,1/L46," ")</f>
        <v>1.7947279632507784</v>
      </c>
      <c r="O46" s="19"/>
      <c r="P46" s="31">
        <f t="shared" si="2"/>
        <v>1.7760290342932721</v>
      </c>
      <c r="Q46" s="31">
        <f t="shared" si="3"/>
        <v>3.187488971391411</v>
      </c>
      <c r="R46" s="31">
        <f t="shared" si="4"/>
        <v>58.511839264545678</v>
      </c>
    </row>
    <row r="47" spans="1:18" x14ac:dyDescent="0.25">
      <c r="A47" s="28">
        <f>IF('E-Barrows'!A47&lt;'Adj-Barrows'!$B$10,'E-Barrows'!B47," ")</f>
        <v>25.334496961557871</v>
      </c>
      <c r="B47" s="26">
        <f>IF('E-Barrows'!A47&lt;'Adj-Barrows'!$B$10,'E-Barrows'!A47," ")</f>
        <v>65</v>
      </c>
      <c r="C47" s="26">
        <f>IF('E-Barrows'!A47&lt;'Adj-Barrows'!$B$10,'E-Barrows'!C47," ")</f>
        <v>740.85600573246779</v>
      </c>
      <c r="D47" s="28">
        <f>IF('E-Barrows'!A47&lt;'Adj-Barrows'!$B$10,'E-Barrows'!G47," ")</f>
        <v>26.56116640903576</v>
      </c>
      <c r="E47" s="27">
        <f>IF('E-Barrows'!A47&lt;'Adj-Barrows'!$B$10,'E-Barrows'!D47," ")</f>
        <v>0.61983744165813159</v>
      </c>
      <c r="F47" s="27"/>
      <c r="G47" s="92">
        <f t="shared" si="1"/>
        <v>65</v>
      </c>
      <c r="H47" s="28">
        <f>IF('E-Barrows'!A47&lt;'Adj-Barrows'!$B$10,'E-Barrows'!I47," ")</f>
        <v>27.357231954388702</v>
      </c>
      <c r="I47" s="24">
        <f>IF('E-Barrows'!A47&lt;'Adj-Barrows'!$B$10,'E-Barrows'!A47," ")</f>
        <v>65</v>
      </c>
      <c r="J47" s="26">
        <f>IF('E-Barrows'!A47&lt;'Adj-Barrows'!$B$10,'E-Barrows'!J47," ")</f>
        <v>816.70810932437041</v>
      </c>
      <c r="K47" s="28">
        <f>IF('E-Barrows'!A47&lt;'Adj-Barrows'!$B$10,'E-Barrows'!N47," ")</f>
        <v>32.980735735993392</v>
      </c>
      <c r="L47" s="27">
        <f>IF('E-Barrows'!A47&lt;'Adj-Barrows'!$B$10,'E-Barrows'!K47," ")</f>
        <v>0.55029766698869731</v>
      </c>
      <c r="M47" s="28">
        <f>IF('E-Barrows'!A47&lt;'Adj-Barrows'!$B$10,'E-Barrows'!M47," ")</f>
        <v>1.4841206102026687</v>
      </c>
      <c r="N47" s="30">
        <f>IF('E-Barrows'!A47&lt;'Adj-Barrows'!$B$10,1/L47," ")</f>
        <v>1.8171983273564183</v>
      </c>
      <c r="O47" s="19"/>
      <c r="P47" s="31">
        <f t="shared" si="2"/>
        <v>1.8005331732638501</v>
      </c>
      <c r="Q47" s="31">
        <f t="shared" si="3"/>
        <v>3.2719258708048127</v>
      </c>
      <c r="R47" s="31">
        <f t="shared" si="4"/>
        <v>60.312372437809529</v>
      </c>
    </row>
    <row r="48" spans="1:18" x14ac:dyDescent="0.25">
      <c r="A48" s="28">
        <f>IF('E-Barrows'!A48&lt;'Adj-Barrows'!$B$10,'E-Barrows'!B48," ")</f>
        <v>26.085289006771212</v>
      </c>
      <c r="B48" s="26">
        <f>IF('E-Barrows'!A48&lt;'Adj-Barrows'!$B$10,'E-Barrows'!A48," ")</f>
        <v>66</v>
      </c>
      <c r="C48" s="26">
        <f>IF('E-Barrows'!A48&lt;'Adj-Barrows'!$B$10,'E-Barrows'!C48," ")</f>
        <v>750.79204521334123</v>
      </c>
      <c r="D48" s="28">
        <f>IF('E-Barrows'!A48&lt;'Adj-Barrows'!$B$10,'E-Barrows'!G48," ")</f>
        <v>27.787324127806937</v>
      </c>
      <c r="E48" s="27">
        <f>IF('E-Barrows'!A48&lt;'Adj-Barrows'!$B$10,'E-Barrows'!D48," ")</f>
        <v>0.61231278302905834</v>
      </c>
      <c r="F48" s="27"/>
      <c r="G48" s="92">
        <f t="shared" si="1"/>
        <v>66</v>
      </c>
      <c r="H48" s="28">
        <f>IF('E-Barrows'!A48&lt;'Adj-Barrows'!$B$10,'E-Barrows'!I48," ")</f>
        <v>28.184893398714486</v>
      </c>
      <c r="I48" s="24">
        <f>IF('E-Barrows'!A48&lt;'Adj-Barrows'!$B$10,'E-Barrows'!A48," ")</f>
        <v>66</v>
      </c>
      <c r="J48" s="26">
        <f>IF('E-Barrows'!A48&lt;'Adj-Barrows'!$B$10,'E-Barrows'!J48," ")</f>
        <v>827.66144432578335</v>
      </c>
      <c r="K48" s="28">
        <f>IF('E-Barrows'!A48&lt;'Adj-Barrows'!$B$10,'E-Barrows'!N48," ")</f>
        <v>34.503243560788455</v>
      </c>
      <c r="L48" s="27">
        <f>IF('E-Barrows'!A48&lt;'Adj-Barrows'!$B$10,'E-Barrows'!K48," ")</f>
        <v>0.5436172023859327</v>
      </c>
      <c r="M48" s="28">
        <f>IF('E-Barrows'!A48&lt;'Adj-Barrows'!$B$10,'E-Barrows'!M48," ")</f>
        <v>1.5225078247950621</v>
      </c>
      <c r="N48" s="30">
        <f>IF('E-Barrows'!A48&lt;'Adj-Barrows'!$B$10,1/L48," ")</f>
        <v>1.8395297198304357</v>
      </c>
      <c r="O48" s="19"/>
      <c r="P48" s="31">
        <f t="shared" si="2"/>
        <v>1.8246811433926531</v>
      </c>
      <c r="Q48" s="31">
        <f t="shared" si="3"/>
        <v>3.3565551924849659</v>
      </c>
      <c r="R48" s="31">
        <f t="shared" si="4"/>
        <v>62.137053581202181</v>
      </c>
    </row>
    <row r="49" spans="1:18" x14ac:dyDescent="0.25">
      <c r="A49" s="28">
        <f>IF('E-Barrows'!A49&lt;'Adj-Barrows'!$B$10,'E-Barrows'!B49," ")</f>
        <v>26.845868030481189</v>
      </c>
      <c r="B49" s="26">
        <f>IF('E-Barrows'!A49&lt;'Adj-Barrows'!$B$10,'E-Barrows'!A49," ")</f>
        <v>67</v>
      </c>
      <c r="C49" s="26">
        <f>IF('E-Barrows'!A49&lt;'Adj-Barrows'!$B$10,'E-Barrows'!C49," ")</f>
        <v>760.57902370997613</v>
      </c>
      <c r="D49" s="28">
        <f>IF('E-Barrows'!A49&lt;'Adj-Barrows'!$B$10,'E-Barrows'!G49," ")</f>
        <v>29.044445202036453</v>
      </c>
      <c r="E49" s="27">
        <f>IF('E-Barrows'!A49&lt;'Adj-Barrows'!$B$10,'E-Barrows'!D49," ")</f>
        <v>0.605016524900859</v>
      </c>
      <c r="F49" s="27"/>
      <c r="G49" s="92">
        <f t="shared" si="1"/>
        <v>67</v>
      </c>
      <c r="H49" s="28">
        <f>IF('E-Barrows'!A49&lt;'Adj-Barrows'!$B$10,'E-Barrows'!I49," ")</f>
        <v>29.023343855536812</v>
      </c>
      <c r="I49" s="24">
        <f>IF('E-Barrows'!A49&lt;'Adj-Barrows'!$B$10,'E-Barrows'!A49," ")</f>
        <v>67</v>
      </c>
      <c r="J49" s="26">
        <f>IF('E-Barrows'!A49&lt;'Adj-Barrows'!$B$10,'E-Barrows'!J49," ")</f>
        <v>838.45045682232421</v>
      </c>
      <c r="K49" s="28">
        <f>IF('E-Barrows'!A49&lt;'Adj-Barrows'!$B$10,'E-Barrows'!N49," ")</f>
        <v>36.064198275608788</v>
      </c>
      <c r="L49" s="27">
        <f>IF('E-Barrows'!A49&lt;'Adj-Barrows'!$B$10,'E-Barrows'!K49," ")</f>
        <v>0.53713951395369697</v>
      </c>
      <c r="M49" s="28">
        <f>IF('E-Barrows'!A49&lt;'Adj-Barrows'!$B$10,'E-Barrows'!M49," ")</f>
        <v>1.5609547148203309</v>
      </c>
      <c r="N49" s="30">
        <f>IF('E-Barrows'!A49&lt;'Adj-Barrows'!$B$10,1/L49," ")</f>
        <v>1.8617137150073881</v>
      </c>
      <c r="O49" s="19"/>
      <c r="P49" s="31">
        <f t="shared" si="2"/>
        <v>1.8484668444099361</v>
      </c>
      <c r="Q49" s="31">
        <f t="shared" si="3"/>
        <v>3.4413160759744059</v>
      </c>
      <c r="R49" s="31">
        <f t="shared" si="4"/>
        <v>63.985520425612123</v>
      </c>
    </row>
    <row r="50" spans="1:18" x14ac:dyDescent="0.25">
      <c r="A50" s="28">
        <f>IF('E-Barrows'!A50&lt;'Adj-Barrows'!$B$10,'E-Barrows'!B50," ")</f>
        <v>27.61608257716707</v>
      </c>
      <c r="B50" s="26">
        <f>IF('E-Barrows'!A50&lt;'Adj-Barrows'!$B$10,'E-Barrows'!A50," ")</f>
        <v>68</v>
      </c>
      <c r="C50" s="26">
        <f>IF('E-Barrows'!A50&lt;'Adj-Barrows'!$B$10,'E-Barrows'!C50," ")</f>
        <v>770.2145466858816</v>
      </c>
      <c r="D50" s="28">
        <f>IF('E-Barrows'!A50&lt;'Adj-Barrows'!$B$10,'E-Barrows'!G50," ")</f>
        <v>30.332555611937941</v>
      </c>
      <c r="E50" s="27">
        <f>IF('E-Barrows'!A50&lt;'Adj-Barrows'!$B$10,'E-Barrows'!D50," ")</f>
        <v>0.59794140375341454</v>
      </c>
      <c r="F50" s="27"/>
      <c r="G50" s="92">
        <f t="shared" si="1"/>
        <v>68</v>
      </c>
      <c r="H50" s="28">
        <f>IF('E-Barrows'!A50&lt;'Adj-Barrows'!$B$10,'E-Barrows'!I50," ")</f>
        <v>29.872416362651112</v>
      </c>
      <c r="I50" s="24">
        <f>IF('E-Barrows'!A50&lt;'Adj-Barrows'!$B$10,'E-Barrows'!A50," ")</f>
        <v>68</v>
      </c>
      <c r="J50" s="26">
        <f>IF('E-Barrows'!A50&lt;'Adj-Barrows'!$B$10,'E-Barrows'!J50," ")</f>
        <v>849.07250711430095</v>
      </c>
      <c r="K50" s="28">
        <f>IF('E-Barrows'!A50&lt;'Adj-Barrows'!$B$10,'E-Barrows'!N50," ")</f>
        <v>37.663632139826852</v>
      </c>
      <c r="L50" s="27">
        <f>IF('E-Barrows'!A50&lt;'Adj-Barrows'!$B$10,'E-Barrows'!K50," ")</f>
        <v>0.5308581530686789</v>
      </c>
      <c r="M50" s="28">
        <f>IF('E-Barrows'!A50&lt;'Adj-Barrows'!$B$10,'E-Barrows'!M50," ")</f>
        <v>1.5994338642180628</v>
      </c>
      <c r="N50" s="30">
        <f>IF('E-Barrows'!A50&lt;'Adj-Barrows'!$B$10,1/L50," ")</f>
        <v>1.8837423786738501</v>
      </c>
      <c r="O50" s="19"/>
      <c r="P50" s="31">
        <f t="shared" si="2"/>
        <v>1.8718844567740434</v>
      </c>
      <c r="Q50" s="31">
        <f t="shared" si="3"/>
        <v>3.5261480792061444</v>
      </c>
      <c r="R50" s="31">
        <f t="shared" si="4"/>
        <v>65.857404882386163</v>
      </c>
    </row>
    <row r="51" spans="1:18" x14ac:dyDescent="0.25">
      <c r="A51" s="28">
        <f>IF('E-Barrows'!A51&lt;'Adj-Barrows'!$B$10,'E-Barrows'!B51," ")</f>
        <v>28.395778912134052</v>
      </c>
      <c r="B51" s="26">
        <f>IF('E-Barrows'!A51&lt;'Adj-Barrows'!$B$10,'E-Barrows'!A51," ")</f>
        <v>69</v>
      </c>
      <c r="C51" s="26">
        <f>IF('E-Barrows'!A51&lt;'Adj-Barrows'!$B$10,'E-Barrows'!C51," ")</f>
        <v>779.69633496698168</v>
      </c>
      <c r="D51" s="28">
        <f>IF('E-Barrows'!A51&lt;'Adj-Barrows'!$B$10,'E-Barrows'!G51," ")</f>
        <v>31.651659456781118</v>
      </c>
      <c r="E51" s="27">
        <f>IF('E-Barrows'!A51&lt;'Adj-Barrows'!$B$10,'E-Barrows'!D51," ")</f>
        <v>0.59108032928194298</v>
      </c>
      <c r="F51" s="27"/>
      <c r="G51" s="92">
        <f t="shared" si="1"/>
        <v>69</v>
      </c>
      <c r="H51" s="28">
        <f>IF('E-Barrows'!A51&lt;'Adj-Barrows'!$B$10,'E-Barrows'!I51," ")</f>
        <v>30.731941445326861</v>
      </c>
      <c r="I51" s="24">
        <f>IF('E-Barrows'!A51&lt;'Adj-Barrows'!$B$10,'E-Barrows'!A51," ")</f>
        <v>69</v>
      </c>
      <c r="J51" s="26">
        <f>IF('E-Barrows'!A51&lt;'Adj-Barrows'!$B$10,'E-Barrows'!J51," ")</f>
        <v>859.52508267574899</v>
      </c>
      <c r="K51" s="28">
        <f>IF('E-Barrows'!A51&lt;'Adj-Barrows'!$B$10,'E-Barrows'!N51," ")</f>
        <v>39.301550243465016</v>
      </c>
      <c r="L51" s="27">
        <f>IF('E-Barrows'!A51&lt;'Adj-Barrows'!$B$10,'E-Barrows'!K51," ")</f>
        <v>0.52476682488981596</v>
      </c>
      <c r="M51" s="28">
        <f>IF('E-Barrows'!A51&lt;'Adj-Barrows'!$B$10,'E-Barrows'!M51," ")</f>
        <v>1.6379181036381663</v>
      </c>
      <c r="N51" s="30">
        <f>IF('E-Barrows'!A51&lt;'Adj-Barrows'!$B$10,1/L51," ")</f>
        <v>1.9056082674623489</v>
      </c>
      <c r="O51" s="19"/>
      <c r="P51" s="31">
        <f t="shared" si="2"/>
        <v>1.8949284413133956</v>
      </c>
      <c r="Q51" s="31">
        <f t="shared" si="3"/>
        <v>3.6109913040163488</v>
      </c>
      <c r="R51" s="31">
        <f t="shared" si="4"/>
        <v>67.752333323699546</v>
      </c>
    </row>
    <row r="52" spans="1:18" x14ac:dyDescent="0.25">
      <c r="A52" s="28">
        <f>IF('E-Barrows'!A52&lt;'Adj-Barrows'!$B$10,'E-Barrows'!B52," ")</f>
        <v>29.184801136647451</v>
      </c>
      <c r="B52" s="26">
        <f>IF('E-Barrows'!A52&lt;'Adj-Barrows'!$B$10,'E-Barrows'!A52," ")</f>
        <v>70</v>
      </c>
      <c r="C52" s="26">
        <f>IF('E-Barrows'!A52&lt;'Adj-Barrows'!$B$10,'E-Barrows'!C52," ")</f>
        <v>789.02222451339912</v>
      </c>
      <c r="D52" s="28">
        <f>IF('E-Barrows'!A52&lt;'Adj-Barrows'!$B$10,'E-Barrows'!G52," ")</f>
        <v>33.00173919832077</v>
      </c>
      <c r="E52" s="27">
        <f>IF('E-Barrows'!A52&lt;'Adj-Barrows'!$B$10,'E-Barrows'!D52," ")</f>
        <v>0.58442638626188548</v>
      </c>
      <c r="F52" s="27"/>
      <c r="G52" s="92">
        <f t="shared" si="1"/>
        <v>70</v>
      </c>
      <c r="H52" s="28">
        <f>IF('E-Barrows'!A52&lt;'Adj-Barrows'!$B$10,'E-Barrows'!I52," ")</f>
        <v>31.60174724322971</v>
      </c>
      <c r="I52" s="24">
        <f>IF('E-Barrows'!A52&lt;'Adj-Barrows'!$B$10,'E-Barrows'!A52," ")</f>
        <v>70</v>
      </c>
      <c r="J52" s="26">
        <f>IF('E-Barrows'!A52&lt;'Adj-Barrows'!$B$10,'E-Barrows'!J52," ")</f>
        <v>869.80579790284935</v>
      </c>
      <c r="K52" s="28">
        <f>IF('E-Barrows'!A52&lt;'Adj-Barrows'!$B$10,'E-Barrows'!N52," ")</f>
        <v>40.977930809458918</v>
      </c>
      <c r="L52" s="27">
        <f>IF('E-Barrows'!A52&lt;'Adj-Barrows'!$B$10,'E-Barrows'!K52," ")</f>
        <v>0.51885939001395864</v>
      </c>
      <c r="M52" s="28">
        <f>IF('E-Barrows'!A52&lt;'Adj-Barrows'!$B$10,'E-Barrows'!M52," ")</f>
        <v>1.6763805659938995</v>
      </c>
      <c r="N52" s="30">
        <f>IF('E-Barrows'!A52&lt;'Adj-Barrows'!$B$10,1/L52," ")</f>
        <v>1.9273044282249521</v>
      </c>
      <c r="O52" s="19"/>
      <c r="P52" s="31">
        <f t="shared" si="2"/>
        <v>1.9175935386718461</v>
      </c>
      <c r="Q52" s="31">
        <f t="shared" si="3"/>
        <v>3.6957865186178052</v>
      </c>
      <c r="R52" s="31">
        <f t="shared" si="4"/>
        <v>69.669926862371398</v>
      </c>
    </row>
    <row r="53" spans="1:18" x14ac:dyDescent="0.25">
      <c r="A53" s="28">
        <f>IF('E-Barrows'!A53&lt;'Adj-Barrows'!$B$10,'E-Barrows'!B53," ")</f>
        <v>29.982991302756357</v>
      </c>
      <c r="B53" s="26">
        <f>IF('E-Barrows'!A53&lt;'Adj-Barrows'!$B$10,'E-Barrows'!A53," ")</f>
        <v>71</v>
      </c>
      <c r="C53" s="26">
        <f>IF('E-Barrows'!A53&lt;'Adj-Barrows'!$B$10,'E-Barrows'!C53," ")</f>
        <v>798.19016610890617</v>
      </c>
      <c r="D53" s="28">
        <f>IF('E-Barrows'!A53&lt;'Adj-Barrows'!$B$10,'E-Barrows'!G53," ")</f>
        <v>34.382755947680707</v>
      </c>
      <c r="E53" s="27">
        <f>IF('E-Barrows'!A53&lt;'Adj-Barrows'!$B$10,'E-Barrows'!D53," ")</f>
        <v>0.57797283521640408</v>
      </c>
      <c r="F53" s="27"/>
      <c r="G53" s="92">
        <f t="shared" si="1"/>
        <v>71</v>
      </c>
      <c r="H53" s="28">
        <f>IF('E-Barrows'!A53&lt;'Adj-Barrows'!$B$10,'E-Barrows'!I53," ")</f>
        <v>32.481659637001293</v>
      </c>
      <c r="I53" s="24">
        <f>IF('E-Barrows'!A53&lt;'Adj-Barrows'!$B$10,'E-Barrows'!A53," ")</f>
        <v>71</v>
      </c>
      <c r="J53" s="26">
        <f>IF('E-Barrows'!A53&lt;'Adj-Barrows'!$B$10,'E-Barrows'!J53," ")</f>
        <v>879.91239377158377</v>
      </c>
      <c r="K53" s="28">
        <f>IF('E-Barrows'!A53&lt;'Adj-Barrows'!$B$10,'E-Barrows'!N53," ")</f>
        <v>42.692725549878389</v>
      </c>
      <c r="L53" s="27">
        <f>IF('E-Barrows'!A53&lt;'Adj-Barrows'!$B$10,'E-Barrows'!K53," ")</f>
        <v>0.51312986506848168</v>
      </c>
      <c r="M53" s="28">
        <f>IF('E-Barrows'!A53&lt;'Adj-Barrows'!$B$10,'E-Barrows'!M53," ")</f>
        <v>1.7147947404194683</v>
      </c>
      <c r="N53" s="30">
        <f>IF('E-Barrows'!A53&lt;'Adj-Barrows'!$B$10,1/L53," ")</f>
        <v>1.9488243972440411</v>
      </c>
      <c r="O53" s="19"/>
      <c r="P53" s="31">
        <f t="shared" si="2"/>
        <v>1.9398747685539413</v>
      </c>
      <c r="Q53" s="31">
        <f t="shared" si="3"/>
        <v>3.780475276556059</v>
      </c>
      <c r="R53" s="31">
        <f t="shared" si="4"/>
        <v>71.609801630925347</v>
      </c>
    </row>
    <row r="54" spans="1:18" x14ac:dyDescent="0.25">
      <c r="A54" s="28">
        <f>IF('E-Barrows'!A54&lt;'Adj-Barrows'!$B$10,'E-Barrows'!B54," ")</f>
        <v>30.790189527722926</v>
      </c>
      <c r="B54" s="26">
        <f>IF('E-Barrows'!A54&lt;'Adj-Barrows'!$B$10,'E-Barrows'!A54," ")</f>
        <v>72</v>
      </c>
      <c r="C54" s="26">
        <f>IF('E-Barrows'!A54&lt;'Adj-Barrows'!$B$10,'E-Barrows'!C54," ")</f>
        <v>807.19822496656946</v>
      </c>
      <c r="D54" s="28">
        <f>IF('E-Barrows'!A54&lt;'Adj-Barrows'!$B$10,'E-Barrows'!G54," ")</f>
        <v>35.79464979423971</v>
      </c>
      <c r="E54" s="27">
        <f>IF('E-Barrows'!A54&lt;'Adj-Barrows'!$B$10,'E-Barrows'!D54," ")</f>
        <v>0.57171311209680109</v>
      </c>
      <c r="F54" s="27"/>
      <c r="G54" s="92">
        <f t="shared" si="1"/>
        <v>72</v>
      </c>
      <c r="H54" s="28">
        <f>IF('E-Barrows'!A54&lt;'Adj-Barrows'!$B$10,'E-Barrows'!I54," ")</f>
        <v>33.371502374404294</v>
      </c>
      <c r="I54" s="24">
        <f>IF('E-Barrows'!A54&lt;'Adj-Barrows'!$B$10,'E-Barrows'!A54," ")</f>
        <v>72</v>
      </c>
      <c r="J54" s="26">
        <f>IF('E-Barrows'!A54&lt;'Adj-Barrows'!$B$10,'E-Barrows'!J54," ")</f>
        <v>889.84273740300398</v>
      </c>
      <c r="K54" s="28">
        <f>IF('E-Barrows'!A54&lt;'Adj-Barrows'!$B$10,'E-Barrows'!N54," ")</f>
        <v>44.445860074301862</v>
      </c>
      <c r="L54" s="27">
        <f>IF('E-Barrows'!A54&lt;'Adj-Barrows'!$B$10,'E-Barrows'!K54," ")</f>
        <v>0.50757242242755674</v>
      </c>
      <c r="M54" s="28">
        <f>IF('E-Barrows'!A54&lt;'Adj-Barrows'!$B$10,'E-Barrows'!M54," ")</f>
        <v>1.7531345244234715</v>
      </c>
      <c r="N54" s="30">
        <f>IF('E-Barrows'!A54&lt;'Adj-Barrows'!$B$10,1/L54," ")</f>
        <v>1.9701621991543974</v>
      </c>
      <c r="O54" s="19"/>
      <c r="P54" s="31">
        <f t="shared" si="2"/>
        <v>1.9617674287665023</v>
      </c>
      <c r="Q54" s="31">
        <f t="shared" si="3"/>
        <v>3.8650000316880804</v>
      </c>
      <c r="R54" s="31">
        <f t="shared" si="4"/>
        <v>73.571569059691839</v>
      </c>
    </row>
    <row r="55" spans="1:18" x14ac:dyDescent="0.25">
      <c r="A55" s="28">
        <f>IF('E-Barrows'!A55&lt;'Adj-Barrows'!$B$10,'E-Barrows'!B55," ")</f>
        <v>31.606234107973862</v>
      </c>
      <c r="B55" s="26">
        <f>IF('E-Barrows'!A55&lt;'Adj-Barrows'!$B$10,'E-Barrows'!A55," ")</f>
        <v>73</v>
      </c>
      <c r="C55" s="26">
        <f>IF('E-Barrows'!A55&lt;'Adj-Barrows'!$B$10,'E-Barrows'!C55," ")</f>
        <v>816.04458025093504</v>
      </c>
      <c r="D55" s="28">
        <f>IF('E-Barrows'!A55&lt;'Adj-Barrows'!$B$10,'E-Barrows'!G55," ")</f>
        <v>37.23734017491217</v>
      </c>
      <c r="E55" s="27">
        <f>IF('E-Barrows'!A55&lt;'Adj-Barrows'!$B$10,'E-Barrows'!D55," ")</f>
        <v>0.56564082715417174</v>
      </c>
      <c r="F55" s="27"/>
      <c r="G55" s="92">
        <f t="shared" si="1"/>
        <v>73</v>
      </c>
      <c r="H55" s="28">
        <f>IF('E-Barrows'!A55&lt;'Adj-Barrows'!$B$10,'E-Barrows'!I55," ")</f>
        <v>34.27109719594079</v>
      </c>
      <c r="I55" s="24">
        <f>IF('E-Barrows'!A55&lt;'Adj-Barrows'!$B$10,'E-Barrows'!A55," ")</f>
        <v>73</v>
      </c>
      <c r="J55" s="26">
        <f>IF('E-Barrows'!A55&lt;'Adj-Barrows'!$B$10,'E-Barrows'!J55," ")</f>
        <v>899.59482153649594</v>
      </c>
      <c r="K55" s="28">
        <f>IF('E-Barrows'!A55&lt;'Adj-Barrows'!$B$10,'E-Barrows'!N55," ")</f>
        <v>46.237234348348487</v>
      </c>
      <c r="L55" s="27">
        <f>IF('E-Barrows'!A55&lt;'Adj-Barrows'!$B$10,'E-Barrows'!K55," ")</f>
        <v>0.50218138921039501</v>
      </c>
      <c r="M55" s="28">
        <f>IF('E-Barrows'!A55&lt;'Adj-Barrows'!$B$10,'E-Barrows'!M55," ")</f>
        <v>1.791374274046623</v>
      </c>
      <c r="N55" s="30">
        <f>IF('E-Barrows'!A55&lt;'Adj-Barrows'!$B$10,1/L55," ")</f>
        <v>1.9913123454701303</v>
      </c>
      <c r="O55" s="19"/>
      <c r="P55" s="31">
        <f t="shared" si="2"/>
        <v>1.9832670940573711</v>
      </c>
      <c r="Q55" s="31">
        <f t="shared" si="3"/>
        <v>3.9493042487611132</v>
      </c>
      <c r="R55" s="31">
        <f t="shared" si="4"/>
        <v>75.554836153749207</v>
      </c>
    </row>
    <row r="56" spans="1:18" x14ac:dyDescent="0.25">
      <c r="A56" s="28">
        <f>IF('E-Barrows'!A56&lt;'Adj-Barrows'!$B$10,'E-Barrows'!B56," ")</f>
        <v>32.430961632489662</v>
      </c>
      <c r="B56" s="26">
        <f>IF('E-Barrows'!A56&lt;'Adj-Barrows'!$B$10,'E-Barrows'!A56," ")</f>
        <v>74</v>
      </c>
      <c r="C56" s="26">
        <f>IF('E-Barrows'!A56&lt;'Adj-Barrows'!$B$10,'E-Barrows'!C56," ")</f>
        <v>824.72752451580072</v>
      </c>
      <c r="D56" s="28">
        <f>IF('E-Barrows'!A56&lt;'Adj-Barrows'!$B$10,'E-Barrows'!G56," ")</f>
        <v>38.710726282069764</v>
      </c>
      <c r="E56" s="27">
        <f>IF('E-Barrows'!A56&lt;'Adj-Barrows'!$B$10,'E-Barrows'!D56," ")</f>
        <v>0.5597497631539623</v>
      </c>
      <c r="F56" s="27"/>
      <c r="G56" s="92">
        <f t="shared" si="1"/>
        <v>74</v>
      </c>
      <c r="H56" s="28">
        <f>IF('E-Barrows'!A56&lt;'Adj-Barrows'!$B$10,'E-Barrows'!I56," ")</f>
        <v>35.180263959850777</v>
      </c>
      <c r="I56" s="24">
        <f>IF('E-Barrows'!A56&lt;'Adj-Barrows'!$B$10,'E-Barrows'!A56," ")</f>
        <v>74</v>
      </c>
      <c r="J56" s="26">
        <f>IF('E-Barrows'!A56&lt;'Adj-Barrows'!$B$10,'E-Barrows'!J56," ")</f>
        <v>909.16676390998884</v>
      </c>
      <c r="K56" s="28">
        <f>IF('E-Barrows'!A56&lt;'Adj-Barrows'!$B$10,'E-Barrows'!N56," ")</f>
        <v>48.066723200190388</v>
      </c>
      <c r="L56" s="27">
        <f>IF('E-Barrows'!A56&lt;'Adj-Barrows'!$B$10,'E-Barrows'!K56," ")</f>
        <v>0.49695124569611476</v>
      </c>
      <c r="M56" s="28">
        <f>IF('E-Barrows'!A56&lt;'Adj-Barrows'!$B$10,'E-Barrows'!M56," ")</f>
        <v>1.8294888518419039</v>
      </c>
      <c r="N56" s="30">
        <f>IF('E-Barrows'!A56&lt;'Adj-Barrows'!$B$10,1/L56," ")</f>
        <v>2.0122698326255914</v>
      </c>
      <c r="O56" s="19"/>
      <c r="P56" s="31">
        <f t="shared" si="2"/>
        <v>2.0043696147490064</v>
      </c>
      <c r="Q56" s="31">
        <f t="shared" si="3"/>
        <v>4.0333325091908048</v>
      </c>
      <c r="R56" s="31">
        <f t="shared" si="4"/>
        <v>77.559205768498217</v>
      </c>
    </row>
    <row r="57" spans="1:18" x14ac:dyDescent="0.25">
      <c r="A57" s="28">
        <f>IF('E-Barrows'!A57&lt;'Adj-Barrows'!$B$10,'E-Barrows'!B57," ")</f>
        <v>33.264207095548002</v>
      </c>
      <c r="B57" s="26">
        <f>IF('E-Barrows'!A57&lt;'Adj-Barrows'!$B$10,'E-Barrows'!A57," ")</f>
        <v>75</v>
      </c>
      <c r="C57" s="26">
        <f>IF('E-Barrows'!A57&lt;'Adj-Barrows'!$B$10,'E-Barrows'!C57," ")</f>
        <v>833.24546305833996</v>
      </c>
      <c r="D57" s="28">
        <f>IF('E-Barrows'!A57&lt;'Adj-Barrows'!$B$10,'E-Barrows'!G57," ")</f>
        <v>40.214687508218233</v>
      </c>
      <c r="E57" s="27">
        <f>IF('E-Barrows'!A57&lt;'Adj-Barrows'!$B$10,'E-Barrows'!D57," ")</f>
        <v>0.55403387306215124</v>
      </c>
      <c r="F57" s="27"/>
      <c r="G57" s="92">
        <f t="shared" si="1"/>
        <v>75</v>
      </c>
      <c r="H57" s="28">
        <f>IF('E-Barrows'!A57&lt;'Adj-Barrows'!$B$10,'E-Barrows'!I57," ")</f>
        <v>36.098820766398731</v>
      </c>
      <c r="I57" s="24">
        <f>IF('E-Barrows'!A57&lt;'Adj-Barrows'!$B$10,'E-Barrows'!A57," ")</f>
        <v>75</v>
      </c>
      <c r="J57" s="26">
        <f>IF('E-Barrows'!A57&lt;'Adj-Barrows'!$B$10,'E-Barrows'!J57," ")</f>
        <v>918.55680654795128</v>
      </c>
      <c r="K57" s="28">
        <f>IF('E-Barrows'!A57&lt;'Adj-Barrows'!$B$10,'E-Barrows'!N57," ")</f>
        <v>49.934176872703411</v>
      </c>
      <c r="L57" s="27">
        <f>IF('E-Barrows'!A57&lt;'Adj-Barrows'!$B$10,'E-Barrows'!K57," ")</f>
        <v>0.49187662326951037</v>
      </c>
      <c r="M57" s="28">
        <f>IF('E-Barrows'!A57&lt;'Adj-Barrows'!$B$10,'E-Barrows'!M57," ")</f>
        <v>1.8674536725130217</v>
      </c>
      <c r="N57" s="30">
        <f>IF('E-Barrows'!A57&lt;'Adj-Barrows'!$B$10,1/L57," ")</f>
        <v>2.033030139454457</v>
      </c>
      <c r="O57" s="19"/>
      <c r="P57" s="31">
        <f t="shared" si="2"/>
        <v>2.025071115168783</v>
      </c>
      <c r="Q57" s="31">
        <f t="shared" si="3"/>
        <v>4.1170306116767827</v>
      </c>
      <c r="R57" s="31">
        <f t="shared" si="4"/>
        <v>79.584276883667002</v>
      </c>
    </row>
    <row r="58" spans="1:18" x14ac:dyDescent="0.25">
      <c r="A58" s="28">
        <f>IF('E-Barrows'!A58&lt;'Adj-Barrows'!$B$10,'E-Barrows'!B58," ")</f>
        <v>34.105804008737486</v>
      </c>
      <c r="B58" s="26">
        <f>IF('E-Barrows'!A58&lt;'Adj-Barrows'!$B$10,'E-Barrows'!A58," ")</f>
        <v>76</v>
      </c>
      <c r="C58" s="26">
        <f>IF('E-Barrows'!A58&lt;'Adj-Barrows'!$B$10,'E-Barrows'!C58," ")</f>
        <v>841.59691318948398</v>
      </c>
      <c r="D58" s="28">
        <f>IF('E-Barrows'!A58&lt;'Adj-Barrows'!$B$10,'E-Barrows'!G58," ")</f>
        <v>41.749083925422731</v>
      </c>
      <c r="E58" s="27">
        <f>IF('E-Barrows'!A58&lt;'Adj-Barrows'!$B$10,'E-Barrows'!D58," ")</f>
        <v>0.54848727731180569</v>
      </c>
      <c r="F58" s="27"/>
      <c r="G58" s="92">
        <f t="shared" si="1"/>
        <v>76</v>
      </c>
      <c r="H58" s="28">
        <f>IF('E-Barrows'!A58&lt;'Adj-Barrows'!$B$10,'E-Barrows'!I58," ")</f>
        <v>37.0265840813558</v>
      </c>
      <c r="I58" s="24">
        <f>IF('E-Barrows'!A58&lt;'Adj-Barrows'!$B$10,'E-Barrows'!A58," ")</f>
        <v>76</v>
      </c>
      <c r="J58" s="26">
        <f>IF('E-Barrows'!A58&lt;'Adj-Barrows'!$B$10,'E-Barrows'!J58," ")</f>
        <v>927.76331495707177</v>
      </c>
      <c r="K58" s="28">
        <f>IF('E-Barrows'!A58&lt;'Adj-Barrows'!$B$10,'E-Barrows'!N58," ")</f>
        <v>51.83942161876476</v>
      </c>
      <c r="L58" s="27">
        <f>IF('E-Barrows'!A58&lt;'Adj-Barrows'!$B$10,'E-Barrows'!K58," ")</f>
        <v>0.48695230199427508</v>
      </c>
      <c r="M58" s="28">
        <f>IF('E-Barrows'!A58&lt;'Adj-Barrows'!$B$10,'E-Barrows'!M58," ")</f>
        <v>1.9052447460613486</v>
      </c>
      <c r="N58" s="30">
        <f>IF('E-Barrows'!A58&lt;'Adj-Barrows'!$B$10,1/L58," ")</f>
        <v>2.0535892240463349</v>
      </c>
      <c r="O58" s="19"/>
      <c r="P58" s="31">
        <f t="shared" si="2"/>
        <v>2.045367991875771</v>
      </c>
      <c r="Q58" s="31">
        <f t="shared" si="3"/>
        <v>4.200345667325375</v>
      </c>
      <c r="R58" s="31">
        <f t="shared" si="4"/>
        <v>81.629644875542766</v>
      </c>
    </row>
    <row r="59" spans="1:18" x14ac:dyDescent="0.25">
      <c r="A59" s="28">
        <f>IF('E-Barrows'!A59&lt;'Adj-Barrows'!$B$10,'E-Barrows'!B59," ")</f>
        <v>34.955584512159476</v>
      </c>
      <c r="B59" s="26">
        <f>IF('E-Barrows'!A59&lt;'Adj-Barrows'!$B$10,'E-Barrows'!A59," ")</f>
        <v>77</v>
      </c>
      <c r="C59" s="26">
        <f>IF('E-Barrows'!A59&lt;'Adj-Barrows'!$B$10,'E-Barrows'!C59," ")</f>
        <v>849.78050342198935</v>
      </c>
      <c r="D59" s="28">
        <f>IF('E-Barrows'!A59&lt;'Adj-Barrows'!$B$10,'E-Barrows'!G59," ")</f>
        <v>43.313756797368185</v>
      </c>
      <c r="E59" s="27">
        <f>IF('E-Barrows'!A59&lt;'Adj-Barrows'!$B$10,'E-Barrows'!D59," ")</f>
        <v>0.54310426074263352</v>
      </c>
      <c r="F59" s="27"/>
      <c r="G59" s="92">
        <f t="shared" si="1"/>
        <v>77</v>
      </c>
      <c r="H59" s="28">
        <f>IF('E-Barrows'!A59&lt;'Adj-Barrows'!$B$10,'E-Barrows'!I59," ")</f>
        <v>37.963368858586996</v>
      </c>
      <c r="I59" s="24">
        <f>IF('E-Barrows'!A59&lt;'Adj-Barrows'!$B$10,'E-Barrows'!A59," ")</f>
        <v>77</v>
      </c>
      <c r="J59" s="26">
        <f>IF('E-Barrows'!A59&lt;'Adj-Barrows'!$B$10,'E-Barrows'!J59," ")</f>
        <v>936.78477723119738</v>
      </c>
      <c r="K59" s="28">
        <f>IF('E-Barrows'!A59&lt;'Adj-Barrows'!$B$10,'E-Barrows'!N59," ")</f>
        <v>53.782260337073296</v>
      </c>
      <c r="L59" s="27">
        <f>IF('E-Barrows'!A59&lt;'Adj-Barrows'!$B$10,'E-Barrows'!K59," ")</f>
        <v>0.48217320789590534</v>
      </c>
      <c r="M59" s="28">
        <f>IF('E-Barrows'!A59&lt;'Adj-Barrows'!$B$10,'E-Barrows'!M59," ")</f>
        <v>1.9428387183085387</v>
      </c>
      <c r="N59" s="30">
        <f>IF('E-Barrows'!A59&lt;'Adj-Barrows'!$B$10,1/L59," ")</f>
        <v>2.0739435199308844</v>
      </c>
      <c r="O59" s="19"/>
      <c r="P59" s="31">
        <f t="shared" si="2"/>
        <v>2.0652569116874635</v>
      </c>
      <c r="Q59" s="31">
        <f t="shared" si="3"/>
        <v>4.2832261889866858</v>
      </c>
      <c r="R59" s="31">
        <f t="shared" si="4"/>
        <v>83.694901787230222</v>
      </c>
    </row>
    <row r="60" spans="1:18" x14ac:dyDescent="0.25">
      <c r="A60" s="28">
        <f>IF('E-Barrows'!A60&lt;'Adj-Barrows'!$B$10,'E-Barrows'!B60," ")</f>
        <v>35.813379484736039</v>
      </c>
      <c r="B60" s="26">
        <f>IF('E-Barrows'!A60&lt;'Adj-Barrows'!$B$10,'E-Barrows'!A60," ")</f>
        <v>78</v>
      </c>
      <c r="C60" s="26">
        <f>IF('E-Barrows'!A60&lt;'Adj-Barrows'!$B$10,'E-Barrows'!C60," ")</f>
        <v>857.7949725765634</v>
      </c>
      <c r="D60" s="28">
        <f>IF('E-Barrows'!A60&lt;'Adj-Barrows'!$B$10,'E-Barrows'!G60," ")</f>
        <v>44.908529121847636</v>
      </c>
      <c r="E60" s="27">
        <f>IF('E-Barrows'!A60&lt;'Adj-Barrows'!$B$10,'E-Barrows'!D60," ")</f>
        <v>0.53787926929102925</v>
      </c>
      <c r="F60" s="27"/>
      <c r="G60" s="92">
        <f t="shared" si="1"/>
        <v>78</v>
      </c>
      <c r="H60" s="28">
        <f>IF('E-Barrows'!A60&lt;'Adj-Barrows'!$B$10,'E-Barrows'!I60," ")</f>
        <v>38.908988661652934</v>
      </c>
      <c r="I60" s="24">
        <f>IF('E-Barrows'!A60&lt;'Adj-Barrows'!$B$10,'E-Barrows'!A60," ")</f>
        <v>78</v>
      </c>
      <c r="J60" s="26">
        <f>IF('E-Barrows'!A60&lt;'Adj-Barrows'!$B$10,'E-Barrows'!J60," ")</f>
        <v>945.61980306594012</v>
      </c>
      <c r="K60" s="28">
        <f>IF('E-Barrows'!A60&lt;'Adj-Barrows'!$B$10,'E-Barrows'!N60," ")</f>
        <v>55.762473245751885</v>
      </c>
      <c r="L60" s="27">
        <f>IF('E-Barrows'!A60&lt;'Adj-Barrows'!$B$10,'E-Barrows'!K60," ")</f>
        <v>0.47753441002309216</v>
      </c>
      <c r="M60" s="28">
        <f>IF('E-Barrows'!A60&lt;'Adj-Barrows'!$B$10,'E-Barrows'!M60," ")</f>
        <v>1.9802129086785865</v>
      </c>
      <c r="N60" s="30">
        <f>IF('E-Barrows'!A60&lt;'Adj-Barrows'!$B$10,1/L60," ")</f>
        <v>2.0940899315541324</v>
      </c>
      <c r="O60" s="19"/>
      <c r="P60" s="31">
        <f t="shared" si="2"/>
        <v>2.0847348095073559</v>
      </c>
      <c r="Q60" s="31">
        <f t="shared" si="3"/>
        <v>4.3656221745497756</v>
      </c>
      <c r="R60" s="31">
        <f t="shared" si="4"/>
        <v>85.779636596737589</v>
      </c>
    </row>
    <row r="61" spans="1:18" x14ac:dyDescent="0.25">
      <c r="A61" s="28">
        <f>IF('E-Barrows'!A61&lt;'Adj-Barrows'!$B$10,'E-Barrows'!B61," ")</f>
        <v>36.679018653543672</v>
      </c>
      <c r="B61" s="26">
        <f>IF('E-Barrows'!A61&lt;'Adj-Barrows'!$B$10,'E-Barrows'!A61," ")</f>
        <v>79</v>
      </c>
      <c r="C61" s="26">
        <f>IF('E-Barrows'!A61&lt;'Adj-Barrows'!$B$10,'E-Barrows'!C61," ")</f>
        <v>865.63916880763259</v>
      </c>
      <c r="D61" s="28">
        <f>IF('E-Barrows'!A61&lt;'Adj-Barrows'!$B$10,'E-Barrows'!G61," ")</f>
        <v>46.53320620139133</v>
      </c>
      <c r="E61" s="27">
        <f>IF('E-Barrows'!A61&lt;'Adj-Barrows'!$B$10,'E-Barrows'!D61," ")</f>
        <v>0.53280690649661633</v>
      </c>
      <c r="F61" s="27"/>
      <c r="G61" s="92">
        <f t="shared" si="1"/>
        <v>79</v>
      </c>
      <c r="H61" s="28">
        <f>IF('E-Barrows'!A61&lt;'Adj-Barrows'!$B$10,'E-Barrows'!I61," ")</f>
        <v>39.863255784337632</v>
      </c>
      <c r="I61" s="24">
        <f>IF('E-Barrows'!A61&lt;'Adj-Barrows'!$B$10,'E-Barrows'!A61," ")</f>
        <v>79</v>
      </c>
      <c r="J61" s="26">
        <f>IF('E-Barrows'!A61&lt;'Adj-Barrows'!$B$10,'E-Barrows'!J61," ")</f>
        <v>954.26712268469919</v>
      </c>
      <c r="K61" s="28">
        <f>IF('E-Barrows'!A61&lt;'Adj-Barrows'!$B$10,'E-Barrows'!N61," ")</f>
        <v>57.779818590891843</v>
      </c>
      <c r="L61" s="27">
        <f>IF('E-Barrows'!A61&lt;'Adj-Barrows'!$B$10,'E-Barrows'!K61," ")</f>
        <v>0.47303111734619507</v>
      </c>
      <c r="M61" s="28">
        <f>IF('E-Barrows'!A61&lt;'Adj-Barrows'!$B$10,'E-Barrows'!M61," ")</f>
        <v>2.0173453451399563</v>
      </c>
      <c r="N61" s="30">
        <f>IF('E-Barrows'!A61&lt;'Adj-Barrows'!$B$10,1/L61," ")</f>
        <v>2.1140258290199005</v>
      </c>
      <c r="O61" s="19"/>
      <c r="P61" s="31">
        <f t="shared" si="2"/>
        <v>2.1037988859572287</v>
      </c>
      <c r="Q61" s="31">
        <f t="shared" si="3"/>
        <v>4.4474851839768741</v>
      </c>
      <c r="R61" s="31">
        <f t="shared" si="4"/>
        <v>87.883435482694807</v>
      </c>
    </row>
    <row r="62" spans="1:18" x14ac:dyDescent="0.25">
      <c r="A62" s="28">
        <f>IF('E-Barrows'!A62&lt;'Adj-Barrows'!$B$10,'E-Barrows'!B62," ")</f>
        <v>37.552330702094132</v>
      </c>
      <c r="B62" s="26">
        <f>IF('E-Barrows'!A62&lt;'Adj-Barrows'!$B$10,'E-Barrows'!A62," ")</f>
        <v>80</v>
      </c>
      <c r="C62" s="26">
        <f>IF('E-Barrows'!A62&lt;'Adj-Barrows'!$B$10,'E-Barrows'!C62," ")</f>
        <v>873.31204855045996</v>
      </c>
      <c r="D62" s="28">
        <f>IF('E-Barrows'!A62&lt;'Adj-Barrows'!$B$10,'E-Barrows'!G62," ")</f>
        <v>48.187576239685157</v>
      </c>
      <c r="E62" s="27">
        <f>IF('E-Barrows'!A62&lt;'Adj-Barrows'!$B$10,'E-Barrows'!D62," ")</f>
        <v>0.52788192988016081</v>
      </c>
      <c r="F62" s="27"/>
      <c r="G62" s="92">
        <f t="shared" si="1"/>
        <v>80</v>
      </c>
      <c r="H62" s="28">
        <f>IF('E-Barrows'!A62&lt;'Adj-Barrows'!$B$10,'E-Barrows'!I62," ")</f>
        <v>40.825981370015612</v>
      </c>
      <c r="I62" s="24">
        <f>IF('E-Barrows'!A62&lt;'Adj-Barrows'!$B$10,'E-Barrows'!A62," ")</f>
        <v>80</v>
      </c>
      <c r="J62" s="26">
        <f>IF('E-Barrows'!A62&lt;'Adj-Barrows'!$B$10,'E-Barrows'!J62," ")</f>
        <v>962.72558567797989</v>
      </c>
      <c r="K62" s="28">
        <f>IF('E-Barrows'!A62&lt;'Adj-Barrows'!$B$10,'E-Barrows'!N62," ")</f>
        <v>59.834033387119788</v>
      </c>
      <c r="L62" s="27">
        <f>IF('E-Barrows'!A62&lt;'Adj-Barrows'!$B$10,'E-Barrows'!K62," ")</f>
        <v>0.46865867554151919</v>
      </c>
      <c r="M62" s="28">
        <f>IF('E-Barrows'!A62&lt;'Adj-Barrows'!$B$10,'E-Barrows'!M62," ")</f>
        <v>2.054214796227944</v>
      </c>
      <c r="N62" s="30">
        <f>IF('E-Barrows'!A62&lt;'Adj-Barrows'!$B$10,1/L62," ")</f>
        <v>2.1337490420817109</v>
      </c>
      <c r="O62" s="19"/>
      <c r="P62" s="31">
        <f t="shared" si="2"/>
        <v>2.1224466048182862</v>
      </c>
      <c r="Q62" s="31">
        <f t="shared" si="3"/>
        <v>4.5287684099005983</v>
      </c>
      <c r="R62" s="31">
        <f t="shared" si="4"/>
        <v>90.005882087513086</v>
      </c>
    </row>
    <row r="63" spans="1:18" x14ac:dyDescent="0.25">
      <c r="A63" s="28">
        <f>IF('E-Barrows'!A63&lt;'Adj-Barrows'!$B$10,'E-Barrows'!B63," ")</f>
        <v>38.433143377484747</v>
      </c>
      <c r="B63" s="26">
        <f>IF('E-Barrows'!A63&lt;'Adj-Barrows'!$B$10,'E-Barrows'!A63," ")</f>
        <v>81</v>
      </c>
      <c r="C63" s="26">
        <f>IF('E-Barrows'!A63&lt;'Adj-Barrows'!$B$10,'E-Barrows'!C63," ")</f>
        <v>880.81267539061514</v>
      </c>
      <c r="D63" s="28">
        <f>IF('E-Barrows'!A63&lt;'Adj-Barrows'!$B$10,'E-Barrows'!G63," ")</f>
        <v>49.871410961373918</v>
      </c>
      <c r="E63" s="27">
        <f>IF('E-Barrows'!A63&lt;'Adj-Barrows'!$B$10,'E-Barrows'!D63," ")</f>
        <v>0.52309924723919776</v>
      </c>
      <c r="F63" s="27"/>
      <c r="G63" s="92">
        <f t="shared" si="1"/>
        <v>81</v>
      </c>
      <c r="H63" s="28">
        <f>IF('E-Barrows'!A63&lt;'Adj-Barrows'!$B$10,'E-Barrows'!I63," ")</f>
        <v>41.796975529772723</v>
      </c>
      <c r="I63" s="24">
        <f>IF('E-Barrows'!A63&lt;'Adj-Barrows'!$B$10,'E-Barrows'!A63," ")</f>
        <v>81</v>
      </c>
      <c r="J63" s="26">
        <f>IF('E-Barrows'!A63&lt;'Adj-Barrows'!$B$10,'E-Barrows'!J63," ")</f>
        <v>970.99415975711463</v>
      </c>
      <c r="K63" s="28">
        <f>IF('E-Barrows'!A63&lt;'Adj-Barrows'!$B$10,'E-Barrows'!N63," ")</f>
        <v>61.924834187201185</v>
      </c>
      <c r="L63" s="27">
        <f>IF('E-Barrows'!A63&lt;'Adj-Barrows'!$B$10,'E-Barrows'!K63," ")</f>
        <v>0.46441256370253653</v>
      </c>
      <c r="M63" s="28">
        <f>IF('E-Barrows'!A63&lt;'Adj-Barrows'!$B$10,'E-Barrows'!M63," ")</f>
        <v>2.0908008000813938</v>
      </c>
      <c r="N63" s="30">
        <f>IF('E-Barrows'!A63&lt;'Adj-Barrows'!$B$10,1/L63," ")</f>
        <v>2.153257853378221</v>
      </c>
      <c r="O63" s="19"/>
      <c r="P63" s="31">
        <f t="shared" si="2"/>
        <v>2.1406756902835791</v>
      </c>
      <c r="Q63" s="31">
        <f t="shared" si="3"/>
        <v>4.60942674163896</v>
      </c>
      <c r="R63" s="31">
        <f t="shared" si="4"/>
        <v>92.146557777796659</v>
      </c>
    </row>
    <row r="64" spans="1:18" x14ac:dyDescent="0.25">
      <c r="A64" s="28">
        <f>IF('E-Barrows'!A64&lt;'Adj-Barrows'!$B$10,'E-Barrows'!B64," ")</f>
        <v>39.321283596343449</v>
      </c>
      <c r="B64" s="26">
        <f>IF('E-Barrows'!A64&lt;'Adj-Barrows'!$B$10,'E-Barrows'!A64," ")</f>
        <v>82</v>
      </c>
      <c r="C64" s="26">
        <f>IF('E-Barrows'!A64&lt;'Adj-Barrows'!$B$10,'E-Barrows'!C64," ")</f>
        <v>888.1402188587017</v>
      </c>
      <c r="D64" s="28">
        <f>IF('E-Barrows'!A64&lt;'Adj-Barrows'!$B$10,'E-Barrows'!G64," ")</f>
        <v>51.584466252809719</v>
      </c>
      <c r="E64" s="27">
        <f>IF('E-Barrows'!A64&lt;'Adj-Barrows'!$B$10,'E-Barrows'!D64," ")</f>
        <v>0.51845391289985943</v>
      </c>
      <c r="F64" s="27"/>
      <c r="G64" s="92">
        <f t="shared" si="1"/>
        <v>82</v>
      </c>
      <c r="H64" s="28">
        <f>IF('E-Barrows'!A64&lt;'Adj-Barrows'!$B$10,'E-Barrows'!I64," ")</f>
        <v>42.77604745919831</v>
      </c>
      <c r="I64" s="24">
        <f>IF('E-Barrows'!A64&lt;'Adj-Barrows'!$B$10,'E-Barrows'!A64," ")</f>
        <v>82</v>
      </c>
      <c r="J64" s="26">
        <f>IF('E-Barrows'!A64&lt;'Adj-Barrows'!$B$10,'E-Barrows'!J64," ")</f>
        <v>979.07192942558936</v>
      </c>
      <c r="K64" s="28">
        <f>IF('E-Barrows'!A64&lt;'Adj-Barrows'!$B$10,'E-Barrows'!N64," ")</f>
        <v>64.051917877651221</v>
      </c>
      <c r="L64" s="27">
        <f>IF('E-Barrows'!A64&lt;'Adj-Barrows'!$B$10,'E-Barrows'!K64," ")</f>
        <v>0.46028839101222285</v>
      </c>
      <c r="M64" s="28">
        <f>IF('E-Barrows'!A64&lt;'Adj-Barrows'!$B$10,'E-Barrows'!M64," ")</f>
        <v>2.1270836904500388</v>
      </c>
      <c r="N64" s="30">
        <f>IF('E-Barrows'!A64&lt;'Adj-Barrows'!$B$10,1/L64," ")</f>
        <v>2.172550990914401</v>
      </c>
      <c r="O64" s="19"/>
      <c r="P64" s="31">
        <f t="shared" si="2"/>
        <v>2.1584841240287824</v>
      </c>
      <c r="Q64" s="31">
        <f t="shared" si="3"/>
        <v>4.6894168225317339</v>
      </c>
      <c r="R64" s="31">
        <f t="shared" si="4"/>
        <v>94.305041901825433</v>
      </c>
    </row>
    <row r="65" spans="1:18" x14ac:dyDescent="0.25">
      <c r="A65" s="28">
        <f>IF('E-Barrows'!A65&lt;'Adj-Barrows'!$B$10,'E-Barrows'!B65," ")</f>
        <v>40.216577549494851</v>
      </c>
      <c r="B65" s="26">
        <f>IF('E-Barrows'!A65&lt;'Adj-Barrows'!$B$10,'E-Barrows'!A65," ")</f>
        <v>83</v>
      </c>
      <c r="C65" s="26">
        <f>IF('E-Barrows'!A65&lt;'Adj-Barrows'!$B$10,'E-Barrows'!C65," ")</f>
        <v>895.29395315140187</v>
      </c>
      <c r="D65" s="28">
        <f>IF('E-Barrows'!A65&lt;'Adj-Barrows'!$B$10,'E-Barrows'!G65," ")</f>
        <v>53.326482821280855</v>
      </c>
      <c r="E65" s="27">
        <f>IF('E-Barrows'!A65&lt;'Adj-Barrows'!$B$10,'E-Barrows'!D65," ")</f>
        <v>0.51394112395678737</v>
      </c>
      <c r="F65" s="27"/>
      <c r="G65" s="92">
        <f t="shared" si="1"/>
        <v>83</v>
      </c>
      <c r="H65" s="28">
        <f>IF('E-Barrows'!A65&lt;'Adj-Barrows'!$B$10,'E-Barrows'!I65," ")</f>
        <v>43.763005553767456</v>
      </c>
      <c r="I65" s="24">
        <f>IF('E-Barrows'!A65&lt;'Adj-Barrows'!$B$10,'E-Barrows'!A65," ")</f>
        <v>83</v>
      </c>
      <c r="J65" s="26">
        <f>IF('E-Barrows'!A65&lt;'Adj-Barrows'!$B$10,'E-Barrows'!J65," ")</f>
        <v>986.95809456914344</v>
      </c>
      <c r="K65" s="28">
        <f>IF('E-Barrows'!A65&lt;'Adj-Barrows'!$B$10,'E-Barrows'!N65," ")</f>
        <v>66.214962497292774</v>
      </c>
      <c r="L65" s="27">
        <f>IF('E-Barrows'!A65&lt;'Adj-Barrows'!$B$10,'E-Barrows'!K65," ")</f>
        <v>0.45628189340481529</v>
      </c>
      <c r="M65" s="28">
        <f>IF('E-Barrows'!A65&lt;'Adj-Barrows'!$B$10,'E-Barrows'!M65," ")</f>
        <v>2.1630446196415467</v>
      </c>
      <c r="N65" s="30">
        <f>IF('E-Barrows'!A65&lt;'Adj-Barrows'!$B$10,1/L65," ")</f>
        <v>2.1916276197986133</v>
      </c>
      <c r="O65" s="19"/>
      <c r="P65" s="31">
        <f t="shared" si="2"/>
        <v>2.1758701421038968</v>
      </c>
      <c r="Q65" s="31">
        <f t="shared" si="3"/>
        <v>4.7686971005300345</v>
      </c>
      <c r="R65" s="31">
        <f t="shared" si="4"/>
        <v>96.480912043929351</v>
      </c>
    </row>
    <row r="66" spans="1:18" x14ac:dyDescent="0.25">
      <c r="A66" s="28">
        <f>IF('E-Barrows'!A66&lt;'Adj-Barrows'!$B$10,'E-Barrows'!B66," ")</f>
        <v>41.118850805276594</v>
      </c>
      <c r="B66" s="26">
        <f>IF('E-Barrows'!A66&lt;'Adj-Barrows'!$B$10,'E-Barrows'!A66," ")</f>
        <v>84</v>
      </c>
      <c r="C66" s="26">
        <f>IF('E-Barrows'!A66&lt;'Adj-Barrows'!$B$10,'E-Barrows'!C66," ")</f>
        <v>902.2732557817435</v>
      </c>
      <c r="D66" s="28">
        <f>IF('E-Barrows'!A66&lt;'Adj-Barrows'!$B$10,'E-Barrows'!G66," ")</f>
        <v>55.093813779643867</v>
      </c>
      <c r="E66" s="27">
        <f>IF('E-Barrows'!A66&lt;'Adj-Barrows'!$B$10,'E-Barrows'!D66," ")</f>
        <v>0.51052874477877919</v>
      </c>
      <c r="F66" s="27"/>
      <c r="G66" s="92">
        <f t="shared" si="1"/>
        <v>84</v>
      </c>
      <c r="H66" s="28">
        <f>IF('E-Barrows'!A66&lt;'Adj-Barrows'!$B$10,'E-Barrows'!I66," ")</f>
        <v>44.7576575227353</v>
      </c>
      <c r="I66" s="24">
        <f>IF('E-Barrows'!A66&lt;'Adj-Barrows'!$B$10,'E-Barrows'!A66," ")</f>
        <v>84</v>
      </c>
      <c r="J66" s="26">
        <f>IF('E-Barrows'!A66&lt;'Adj-Barrows'!$B$10,'E-Barrows'!J66," ")</f>
        <v>994.65196896784448</v>
      </c>
      <c r="K66" s="28">
        <f>IF('E-Barrows'!A66&lt;'Adj-Barrows'!$B$10,'E-Barrows'!N66," ")</f>
        <v>68.409439742688946</v>
      </c>
      <c r="L66" s="27">
        <f>IF('E-Barrows'!A66&lt;'Adj-Barrows'!$B$10,'E-Barrows'!K66," ")</f>
        <v>0.4532523502144018</v>
      </c>
      <c r="M66" s="28">
        <f>IF('E-Barrows'!A66&lt;'Adj-Barrows'!$B$10,'E-Barrows'!M66," ")</f>
        <v>2.1944772453961785</v>
      </c>
      <c r="N66" s="30">
        <f>IF('E-Barrows'!A66&lt;'Adj-Barrows'!$B$10,1/L66," ")</f>
        <v>2.2062764804792967</v>
      </c>
      <c r="O66" s="19"/>
      <c r="P66" s="31">
        <f t="shared" si="2"/>
        <v>2.1928322316529365</v>
      </c>
      <c r="Q66" s="31">
        <f t="shared" si="3"/>
        <v>4.8379941783328029</v>
      </c>
      <c r="R66" s="31">
        <f t="shared" si="4"/>
        <v>98.67374427558228</v>
      </c>
    </row>
    <row r="67" spans="1:18" x14ac:dyDescent="0.25">
      <c r="A67" s="28">
        <f>IF('E-Barrows'!A67&lt;'Adj-Barrows'!$B$10,'E-Barrows'!B67," ")</f>
        <v>42.027928411437308</v>
      </c>
      <c r="B67" s="26">
        <f>IF('E-Barrows'!A67&lt;'Adj-Barrows'!$B$10,'E-Barrows'!A67," ")</f>
        <v>85</v>
      </c>
      <c r="C67" s="26">
        <f>IF('E-Barrows'!A67&lt;'Adj-Barrows'!$B$10,'E-Barrows'!C67," ")</f>
        <v>909.07760616071437</v>
      </c>
      <c r="D67" s="28">
        <f>IF('E-Barrows'!A67&lt;'Adj-Barrows'!$B$10,'E-Barrows'!G67," ")</f>
        <v>56.894237504640842</v>
      </c>
      <c r="E67" s="27">
        <f>IF('E-Barrows'!A67&lt;'Adj-Barrows'!$B$10,'E-Barrows'!D67," ")</f>
        <v>0.50492425396262952</v>
      </c>
      <c r="F67" s="27"/>
      <c r="G67" s="92">
        <f t="shared" si="1"/>
        <v>85</v>
      </c>
      <c r="H67" s="28">
        <f>IF('E-Barrows'!A67&lt;'Adj-Barrows'!$B$10,'E-Barrows'!I67," ")</f>
        <v>45.759810501467783</v>
      </c>
      <c r="I67" s="24">
        <f>IF('E-Barrows'!A67&lt;'Adj-Barrows'!$B$10,'E-Barrows'!A67," ")</f>
        <v>85</v>
      </c>
      <c r="J67" s="26">
        <f>IF('E-Barrows'!A67&lt;'Adj-Barrows'!$B$10,'E-Barrows'!J67," ")</f>
        <v>1002.1529787324823</v>
      </c>
      <c r="K67" s="28">
        <f>IF('E-Barrows'!A67&lt;'Adj-Barrows'!$B$10,'E-Barrows'!N67," ")</f>
        <v>70.645007946754632</v>
      </c>
      <c r="L67" s="27">
        <f>IF('E-Barrows'!A67&lt;'Adj-Barrows'!$B$10,'E-Barrows'!K67," ")</f>
        <v>0.44827662914060484</v>
      </c>
      <c r="M67" s="28">
        <f>IF('E-Barrows'!A67&lt;'Adj-Barrows'!$B$10,'E-Barrows'!M67," ")</f>
        <v>2.2355682040656877</v>
      </c>
      <c r="N67" s="30">
        <f>IF('E-Barrows'!A67&lt;'Adj-Barrows'!$B$10,1/L67," ")</f>
        <v>2.2307654135731076</v>
      </c>
      <c r="O67" s="19"/>
      <c r="P67" s="31">
        <f t="shared" si="2"/>
        <v>2.2093691274667657</v>
      </c>
      <c r="Q67" s="31">
        <f t="shared" si="3"/>
        <v>4.9285842353690557</v>
      </c>
      <c r="R67" s="31">
        <f t="shared" si="4"/>
        <v>100.88311340304905</v>
      </c>
    </row>
    <row r="68" spans="1:18" x14ac:dyDescent="0.25">
      <c r="A68" s="28">
        <f>IF('E-Barrows'!A68&lt;'Adj-Barrows'!$B$10,'E-Barrows'!B68," ")</f>
        <v>42.94363499555007</v>
      </c>
      <c r="B68" s="26">
        <f>IF('E-Barrows'!A68&lt;'Adj-Barrows'!$B$10,'E-Barrows'!A68," ")</f>
        <v>86</v>
      </c>
      <c r="C68" s="26">
        <f>IF('E-Barrows'!A68&lt;'Adj-Barrows'!$B$10,'E-Barrows'!C68," ")</f>
        <v>915.7065841127619</v>
      </c>
      <c r="D68" s="28">
        <f>IF('E-Barrows'!A68&lt;'Adj-Barrows'!$B$10,'E-Barrows'!G68," ")</f>
        <v>58.727392056261081</v>
      </c>
      <c r="E68" s="27">
        <f>IF('E-Barrows'!A68&lt;'Adj-Barrows'!$B$10,'E-Barrows'!D68," ")</f>
        <v>0.49952503093828604</v>
      </c>
      <c r="F68" s="27"/>
      <c r="G68" s="92">
        <f t="shared" ref="G68:G131" si="5">IFERROR(I68,"")</f>
        <v>86</v>
      </c>
      <c r="H68" s="28">
        <f>IF('E-Barrows'!A68&lt;'Adj-Barrows'!$B$10,'E-Barrows'!I68," ")</f>
        <v>46.769271162135865</v>
      </c>
      <c r="I68" s="24">
        <f>IF('E-Barrows'!A68&lt;'Adj-Barrows'!$B$10,'E-Barrows'!A68," ")</f>
        <v>86</v>
      </c>
      <c r="J68" s="26">
        <f>IF('E-Barrows'!A68&lt;'Adj-Barrows'!$B$10,'E-Barrows'!J68," ")</f>
        <v>1009.4606606680793</v>
      </c>
      <c r="K68" s="28">
        <f>IF('E-Barrows'!A68&lt;'Adj-Barrows'!$B$10,'E-Barrows'!N68," ")</f>
        <v>72.921217692184086</v>
      </c>
      <c r="L68" s="27">
        <f>IF('E-Barrows'!A68&lt;'Adj-Barrows'!$B$10,'E-Barrows'!K68," ")</f>
        <v>0.44348314679481488</v>
      </c>
      <c r="M68" s="28">
        <f>IF('E-Barrows'!A68&lt;'Adj-Barrows'!$B$10,'E-Barrows'!M68," ")</f>
        <v>2.2762097454294556</v>
      </c>
      <c r="N68" s="30">
        <f>IF('E-Barrows'!A68&lt;'Adj-Barrows'!$B$10,1/L68," ")</f>
        <v>2.2548771181662675</v>
      </c>
      <c r="O68" s="19"/>
      <c r="P68" s="31">
        <f t="shared" si="2"/>
        <v>2.2254798083752583</v>
      </c>
      <c r="Q68" s="31">
        <f t="shared" si="3"/>
        <v>5.0181834968464205</v>
      </c>
      <c r="R68" s="31">
        <f t="shared" si="4"/>
        <v>103.10859321142431</v>
      </c>
    </row>
    <row r="69" spans="1:18" x14ac:dyDescent="0.25">
      <c r="A69" s="28">
        <f>IF('E-Barrows'!A69&lt;'Adj-Barrows'!$B$10,'E-Barrows'!B69," ")</f>
        <v>43.865794863877952</v>
      </c>
      <c r="B69" s="26">
        <f>IF('E-Barrows'!A69&lt;'Adj-Barrows'!$B$10,'E-Barrows'!A69," ")</f>
        <v>87</v>
      </c>
      <c r="C69" s="26">
        <f>IF('E-Barrows'!A69&lt;'Adj-Barrows'!$B$10,'E-Barrows'!C69," ")</f>
        <v>922.15986832788133</v>
      </c>
      <c r="D69" s="28">
        <f>IF('E-Barrows'!A69&lt;'Adj-Barrows'!$B$10,'E-Barrows'!G69," ")</f>
        <v>60.592895757338539</v>
      </c>
      <c r="E69" s="27">
        <f>IF('E-Barrows'!A69&lt;'Adj-Barrows'!$B$10,'E-Barrows'!D69," ")</f>
        <v>0.49432218643965764</v>
      </c>
      <c r="F69" s="27"/>
      <c r="G69" s="92">
        <f t="shared" si="5"/>
        <v>87</v>
      </c>
      <c r="H69" s="28">
        <f>IF('E-Barrows'!A69&lt;'Adj-Barrows'!$B$10,'E-Barrows'!I69," ")</f>
        <v>47.785845822703358</v>
      </c>
      <c r="I69" s="24">
        <f>IF('E-Barrows'!A69&lt;'Adj-Barrows'!$B$10,'E-Barrows'!A69," ")</f>
        <v>87</v>
      </c>
      <c r="J69" s="26">
        <f>IF('E-Barrows'!A69&lt;'Adj-Barrows'!$B$10,'E-Barrows'!J69," ")</f>
        <v>1016.5746605674959</v>
      </c>
      <c r="K69" s="28">
        <f>IF('E-Barrows'!A69&lt;'Adj-Barrows'!$B$10,'E-Barrows'!N69," ")</f>
        <v>75.237595054242362</v>
      </c>
      <c r="L69" s="27">
        <f>IF('E-Barrows'!A69&lt;'Adj-Barrows'!$B$10,'E-Barrows'!K69," ")</f>
        <v>0.43886401120074514</v>
      </c>
      <c r="M69" s="28">
        <f>IF('E-Barrows'!A69&lt;'Adj-Barrows'!$B$10,'E-Barrows'!M69," ")</f>
        <v>2.3163773620582764</v>
      </c>
      <c r="N69" s="30">
        <f>IF('E-Barrows'!A69&lt;'Adj-Barrows'!$B$10,1/L69," ")</f>
        <v>2.2786101718934981</v>
      </c>
      <c r="O69" s="19"/>
      <c r="P69" s="31">
        <f t="shared" ref="P69:P132" si="6">IFERROR(IF(J69&lt;0,"",CONVERT(J69,"g", "lbm")),"")</f>
        <v>2.2411634934853422</v>
      </c>
      <c r="Q69" s="31">
        <f t="shared" ref="Q69:Q132" si="7">IFERROR(IF(M69&lt;0,"",CONVERT(M69,"kg", "lbm")),"")</f>
        <v>5.1067379331320684</v>
      </c>
      <c r="R69" s="31">
        <f t="shared" ref="R69:R132" si="8">IFERROR(IF(H69&lt;0,"",CONVERT(H69,"kg", "lbm")),"")</f>
        <v>105.34975670490965</v>
      </c>
    </row>
    <row r="70" spans="1:18" x14ac:dyDescent="0.25">
      <c r="A70" s="28">
        <f>IF('E-Barrows'!A70&lt;'Adj-Barrows'!$B$10,'E-Barrows'!B70," ")</f>
        <v>44.794232098630758</v>
      </c>
      <c r="B70" s="26">
        <f>IF('E-Barrows'!A70&lt;'Adj-Barrows'!$B$10,'E-Barrows'!A70," ")</f>
        <v>88</v>
      </c>
      <c r="C70" s="26">
        <f>IF('E-Barrows'!A70&lt;'Adj-Barrows'!$B$10,'E-Barrows'!C70," ")</f>
        <v>928.43723475280626</v>
      </c>
      <c r="D70" s="28">
        <f>IF('E-Barrows'!A70&lt;'Adj-Barrows'!$B$10,'E-Barrows'!G70," ")</f>
        <v>62.49034830724159</v>
      </c>
      <c r="E70" s="27">
        <f>IF('E-Barrows'!A70&lt;'Adj-Barrows'!$B$10,'E-Barrows'!D70," ")</f>
        <v>0.48930722130587312</v>
      </c>
      <c r="F70" s="27"/>
      <c r="G70" s="92">
        <f t="shared" si="5"/>
        <v>88</v>
      </c>
      <c r="H70" s="28">
        <f>IF('E-Barrows'!A70&lt;'Adj-Barrows'!$B$10,'E-Barrows'!I70," ")</f>
        <v>48.809340554141265</v>
      </c>
      <c r="I70" s="24">
        <f>IF('E-Barrows'!A70&lt;'Adj-Barrows'!$B$10,'E-Barrows'!A70," ")</f>
        <v>88</v>
      </c>
      <c r="J70" s="26">
        <f>IF('E-Barrows'!A70&lt;'Adj-Barrows'!$B$10,'E-Barrows'!J70," ")</f>
        <v>1023.4947314379049</v>
      </c>
      <c r="K70" s="28">
        <f>IF('E-Barrows'!A70&lt;'Adj-Barrows'!$B$10,'E-Barrows'!N70," ")</f>
        <v>77.593642983622857</v>
      </c>
      <c r="L70" s="27">
        <f>IF('E-Barrows'!A70&lt;'Adj-Barrows'!$B$10,'E-Barrows'!K70," ")</f>
        <v>0.43441167672129077</v>
      </c>
      <c r="M70" s="28">
        <f>IF('E-Barrows'!A70&lt;'Adj-Barrows'!$B$10,'E-Barrows'!M70," ")</f>
        <v>2.3560479293804919</v>
      </c>
      <c r="N70" s="30">
        <f>IF('E-Barrows'!A70&lt;'Adj-Barrows'!$B$10,1/L70," ")</f>
        <v>2.3019639056377819</v>
      </c>
      <c r="O70" s="19"/>
      <c r="P70" s="31">
        <f t="shared" si="6"/>
        <v>2.2564196382710424</v>
      </c>
      <c r="Q70" s="31">
        <f t="shared" si="7"/>
        <v>5.1941965632721994</v>
      </c>
      <c r="R70" s="31">
        <f t="shared" si="8"/>
        <v>107.60617634318069</v>
      </c>
    </row>
    <row r="71" spans="1:18" x14ac:dyDescent="0.25">
      <c r="A71" s="28">
        <f>IF('E-Barrows'!A71&lt;'Adj-Barrows'!$B$10,'E-Barrows'!B71," ")</f>
        <v>45.728770653555173</v>
      </c>
      <c r="B71" s="26">
        <f>IF('E-Barrows'!A71&lt;'Adj-Barrows'!$B$10,'E-Barrows'!A71," ")</f>
        <v>89</v>
      </c>
      <c r="C71" s="26">
        <f>IF('E-Barrows'!A71&lt;'Adj-Barrows'!$B$10,'E-Barrows'!C71," ")</f>
        <v>934.53855492441562</v>
      </c>
      <c r="D71" s="28">
        <f>IF('E-Barrows'!A71&lt;'Adj-Barrows'!$B$10,'E-Barrows'!G71," ")</f>
        <v>64.419331909071133</v>
      </c>
      <c r="E71" s="27">
        <f>IF('E-Barrows'!A71&lt;'Adj-Barrows'!$B$10,'E-Barrows'!D71," ")</f>
        <v>0.48447200589888556</v>
      </c>
      <c r="F71" s="27"/>
      <c r="G71" s="92">
        <f t="shared" si="5"/>
        <v>89</v>
      </c>
      <c r="H71" s="28">
        <f>IF('E-Barrows'!A71&lt;'Adj-Barrows'!$B$10,'E-Barrows'!I71," ")</f>
        <v>49.839561285804827</v>
      </c>
      <c r="I71" s="24">
        <f>IF('E-Barrows'!A71&lt;'Adj-Barrows'!$B$10,'E-Barrows'!A71," ")</f>
        <v>89</v>
      </c>
      <c r="J71" s="26">
        <f>IF('E-Barrows'!A71&lt;'Adj-Barrows'!$B$10,'E-Barrows'!J71," ")</f>
        <v>1030.2207316635643</v>
      </c>
      <c r="K71" s="28">
        <f>IF('E-Barrows'!A71&lt;'Adj-Barrows'!$B$10,'E-Barrows'!N71," ")</f>
        <v>79.988842706077904</v>
      </c>
      <c r="L71" s="27">
        <f>IF('E-Barrows'!A71&lt;'Adj-Barrows'!$B$10,'E-Barrows'!K71," ")</f>
        <v>0.43011892578527905</v>
      </c>
      <c r="M71" s="28">
        <f>IF('E-Barrows'!A71&lt;'Adj-Barrows'!$B$10,'E-Barrows'!M71," ")</f>
        <v>2.3951997224550494</v>
      </c>
      <c r="N71" s="30">
        <f>IF('E-Barrows'!A71&lt;'Adj-Barrows'!$B$10,1/L71," ")</f>
        <v>2.3249383834349411</v>
      </c>
      <c r="O71" s="19"/>
      <c r="P71" s="31">
        <f t="shared" si="6"/>
        <v>2.2712479305230913</v>
      </c>
      <c r="Q71" s="31">
        <f t="shared" si="7"/>
        <v>5.2805114919703104</v>
      </c>
      <c r="R71" s="31">
        <f t="shared" si="8"/>
        <v>109.87742427370378</v>
      </c>
    </row>
    <row r="72" spans="1:18" x14ac:dyDescent="0.25">
      <c r="A72" s="28">
        <f>IF('E-Barrows'!A72&lt;'Adj-Barrows'!$B$10,'E-Barrows'!B72," ")</f>
        <v>46.66923444780322</v>
      </c>
      <c r="B72" s="26">
        <f>IF('E-Barrows'!A72&lt;'Adj-Barrows'!$B$10,'E-Barrows'!A72," ")</f>
        <v>90</v>
      </c>
      <c r="C72" s="26">
        <f>IF('E-Barrows'!A72&lt;'Adj-Barrows'!$B$10,'E-Barrows'!C72," ")</f>
        <v>940.46379424804627</v>
      </c>
      <c r="D72" s="28">
        <f>IF('E-Barrows'!A72&lt;'Adj-Barrows'!$B$10,'E-Barrows'!G72," ")</f>
        <v>66.379412406050292</v>
      </c>
      <c r="E72" s="27">
        <f>IF('E-Barrows'!A72&lt;'Adj-Barrows'!$B$10,'E-Barrows'!D72," ")</f>
        <v>0.47980876076134316</v>
      </c>
      <c r="F72" s="27"/>
      <c r="G72" s="92">
        <f t="shared" si="5"/>
        <v>90</v>
      </c>
      <c r="H72" s="28">
        <f>IF('E-Barrows'!A72&lt;'Adj-Barrows'!$B$10,'E-Barrows'!I72," ")</f>
        <v>50.876313908912685</v>
      </c>
      <c r="I72" s="24">
        <f>IF('E-Barrows'!A72&lt;'Adj-Barrows'!$B$10,'E-Barrows'!A72," ")</f>
        <v>90</v>
      </c>
      <c r="J72" s="26">
        <f>IF('E-Barrows'!A72&lt;'Adj-Barrows'!$B$10,'E-Barrows'!J72," ")</f>
        <v>1036.7526231078571</v>
      </c>
      <c r="K72" s="28">
        <f>IF('E-Barrows'!A72&lt;'Adj-Barrows'!$B$10,'E-Barrows'!N72," ")</f>
        <v>82.422655133462598</v>
      </c>
      <c r="L72" s="27">
        <f>IF('E-Barrows'!A72&lt;'Adj-Barrows'!$B$10,'E-Barrows'!K72," ")</f>
        <v>0.42597885171534039</v>
      </c>
      <c r="M72" s="28">
        <f>IF('E-Barrows'!A72&lt;'Adj-Barrows'!$B$10,'E-Barrows'!M72," ")</f>
        <v>2.4338124273846935</v>
      </c>
      <c r="N72" s="30">
        <f>IF('E-Barrows'!A72&lt;'Adj-Barrows'!$B$10,1/L72," ")</f>
        <v>2.3475343810453957</v>
      </c>
      <c r="O72" s="19"/>
      <c r="P72" s="31">
        <f t="shared" si="6"/>
        <v>2.2856482861646397</v>
      </c>
      <c r="Q72" s="31">
        <f t="shared" si="7"/>
        <v>5.3656379347489764</v>
      </c>
      <c r="R72" s="31">
        <f t="shared" si="8"/>
        <v>112.16307255986843</v>
      </c>
    </row>
    <row r="73" spans="1:18" x14ac:dyDescent="0.25">
      <c r="A73" s="28">
        <f>IF('E-Barrows'!A73&lt;'Adj-Barrows'!$B$10,'E-Barrows'!B73," ")</f>
        <v>47.615447458026935</v>
      </c>
      <c r="B73" s="26">
        <f>IF('E-Barrows'!A73&lt;'Adj-Barrows'!$B$10,'E-Barrows'!A73," ")</f>
        <v>91</v>
      </c>
      <c r="C73" s="26">
        <f>IF('E-Barrows'!A73&lt;'Adj-Barrows'!$B$10,'E-Barrows'!C73," ")</f>
        <v>946.2130102237154</v>
      </c>
      <c r="D73" s="28">
        <f>IF('E-Barrows'!A73&lt;'Adj-Barrows'!$B$10,'E-Barrows'!G73," ")</f>
        <v>68.370140422912186</v>
      </c>
      <c r="E73" s="27">
        <f>IF('E-Barrows'!A73&lt;'Adj-Barrows'!$B$10,'E-Barrows'!D73," ")</f>
        <v>0.47531003844276404</v>
      </c>
      <c r="F73" s="27"/>
      <c r="G73" s="92">
        <f t="shared" si="5"/>
        <v>91</v>
      </c>
      <c r="H73" s="28">
        <f>IF('E-Barrows'!A73&lt;'Adj-Barrows'!$B$10,'E-Barrows'!I73," ")</f>
        <v>51.919404378070588</v>
      </c>
      <c r="I73" s="24">
        <f>IF('E-Barrows'!A73&lt;'Adj-Barrows'!$B$10,'E-Barrows'!A73," ")</f>
        <v>91</v>
      </c>
      <c r="J73" s="26">
        <f>IF('E-Barrows'!A73&lt;'Adj-Barrows'!$B$10,'E-Barrows'!J73," ")</f>
        <v>1043.0904691579055</v>
      </c>
      <c r="K73" s="28">
        <f>IF('E-Barrows'!A73&lt;'Adj-Barrows'!$B$10,'E-Barrows'!N73," ")</f>
        <v>84.894522280984603</v>
      </c>
      <c r="L73" s="27">
        <f>IF('E-Barrows'!A73&lt;'Adj-Barrows'!$B$10,'E-Barrows'!K73," ")</f>
        <v>0.42198484259301067</v>
      </c>
      <c r="M73" s="28">
        <f>IF('E-Barrows'!A73&lt;'Adj-Barrows'!$B$10,'E-Barrows'!M73," ")</f>
        <v>2.471867147522</v>
      </c>
      <c r="N73" s="30">
        <f>IF('E-Barrows'!A73&lt;'Adj-Barrows'!$B$10,1/L73," ")</f>
        <v>2.3697533633085119</v>
      </c>
      <c r="O73" s="19"/>
      <c r="P73" s="31">
        <f t="shared" si="6"/>
        <v>2.2996208449403714</v>
      </c>
      <c r="Q73" s="31">
        <f t="shared" si="7"/>
        <v>5.4495342316318061</v>
      </c>
      <c r="R73" s="31">
        <f t="shared" si="8"/>
        <v>114.46269340480879</v>
      </c>
    </row>
    <row r="74" spans="1:18" x14ac:dyDescent="0.25">
      <c r="A74" s="28">
        <f>IF('E-Barrows'!A74&lt;'Adj-Barrows'!$B$10,'E-Barrows'!B74," ")</f>
        <v>48.567233808650215</v>
      </c>
      <c r="B74" s="26">
        <f>IF('E-Barrows'!A74&lt;'Adj-Barrows'!$B$10,'E-Barrows'!A74," ")</f>
        <v>92</v>
      </c>
      <c r="C74" s="26">
        <f>IF('E-Barrows'!A74&lt;'Adj-Barrows'!$B$10,'E-Barrows'!C74," ")</f>
        <v>951.78635062327999</v>
      </c>
      <c r="D74" s="28">
        <f>IF('E-Barrows'!A74&lt;'Adj-Barrows'!$B$10,'E-Barrows'!G74," ")</f>
        <v>70.39105250823286</v>
      </c>
      <c r="E74" s="27">
        <f>IF('E-Barrows'!A74&lt;'Adj-Barrows'!$B$10,'E-Barrows'!D74," ")</f>
        <v>0.47096870642556987</v>
      </c>
      <c r="F74" s="27"/>
      <c r="G74" s="92">
        <f t="shared" si="5"/>
        <v>92</v>
      </c>
      <c r="H74" s="28">
        <f>IF('E-Barrows'!A74&lt;'Adj-Barrows'!$B$10,'E-Barrows'!I74," ")</f>
        <v>52.968638810785691</v>
      </c>
      <c r="I74" s="24">
        <f>IF('E-Barrows'!A74&lt;'Adj-Barrows'!$B$10,'E-Barrows'!A74," ")</f>
        <v>92</v>
      </c>
      <c r="J74" s="26">
        <f>IF('E-Barrows'!A74&lt;'Adj-Barrows'!$B$10,'E-Barrows'!J74," ")</f>
        <v>1049.2344327151006</v>
      </c>
      <c r="K74" s="28">
        <f>IF('E-Barrows'!A74&lt;'Adj-Barrows'!$B$10,'E-Barrows'!N74," ")</f>
        <v>87.403868685627543</v>
      </c>
      <c r="L74" s="27">
        <f>IF('E-Barrows'!A74&lt;'Adj-Barrows'!$B$10,'E-Barrows'!K74," ")</f>
        <v>0.41813056610029931</v>
      </c>
      <c r="M74" s="28">
        <f>IF('E-Barrows'!A74&lt;'Adj-Barrows'!$B$10,'E-Barrows'!M74," ")</f>
        <v>2.5093464046429337</v>
      </c>
      <c r="N74" s="30">
        <f>IF('E-Barrows'!A74&lt;'Adj-Barrows'!$B$10,1/L74," ")</f>
        <v>2.3915974603973926</v>
      </c>
      <c r="O74" s="19"/>
      <c r="P74" s="31">
        <f t="shared" si="6"/>
        <v>2.3131659659863781</v>
      </c>
      <c r="Q74" s="31">
        <f t="shared" si="7"/>
        <v>5.532161849730703</v>
      </c>
      <c r="R74" s="31">
        <f t="shared" si="8"/>
        <v>116.77585937079517</v>
      </c>
    </row>
    <row r="75" spans="1:18" x14ac:dyDescent="0.25">
      <c r="A75" s="28">
        <f>IF('E-Barrows'!A75&lt;'Adj-Barrows'!$B$10,'E-Barrows'!B75," ")</f>
        <v>49.524417860271981</v>
      </c>
      <c r="B75" s="26">
        <f>IF('E-Barrows'!A75&lt;'Adj-Barrows'!$B$10,'E-Barrows'!A75," ")</f>
        <v>93</v>
      </c>
      <c r="C75" s="26">
        <f>IF('E-Barrows'!A75&lt;'Adj-Barrows'!$B$10,'E-Barrows'!C75," ")</f>
        <v>957.18405162176623</v>
      </c>
      <c r="D75" s="28">
        <f>IF('E-Barrows'!A75&lt;'Adj-Barrows'!$B$10,'E-Barrows'!G75," ")</f>
        <v>72.441672273813097</v>
      </c>
      <c r="E75" s="27">
        <f>IF('E-Barrows'!A75&lt;'Adj-Barrows'!$B$10,'E-Barrows'!D75," ")</f>
        <v>0.46677793108608101</v>
      </c>
      <c r="F75" s="27"/>
      <c r="G75" s="92">
        <f t="shared" si="5"/>
        <v>93</v>
      </c>
      <c r="H75" s="28">
        <f>IF('E-Barrows'!A75&lt;'Adj-Barrows'!$B$10,'E-Barrows'!I75," ")</f>
        <v>54.023823584920798</v>
      </c>
      <c r="I75" s="24">
        <f>IF('E-Barrows'!A75&lt;'Adj-Barrows'!$B$10,'E-Barrows'!A75," ")</f>
        <v>93</v>
      </c>
      <c r="J75" s="26">
        <f>IF('E-Barrows'!A75&lt;'Adj-Barrows'!$B$10,'E-Barrows'!J75," ")</f>
        <v>1055.1847741351091</v>
      </c>
      <c r="K75" s="28">
        <f>IF('E-Barrows'!A75&lt;'Adj-Barrows'!$B$10,'E-Barrows'!N75," ")</f>
        <v>89.950102820910061</v>
      </c>
      <c r="L75" s="27">
        <f>IF('E-Barrows'!A75&lt;'Adj-Barrows'!$B$10,'E-Barrows'!K75," ")</f>
        <v>0.41440995528010555</v>
      </c>
      <c r="M75" s="28">
        <f>IF('E-Barrows'!A75&lt;'Adj-Barrows'!$B$10,'E-Barrows'!M75," ")</f>
        <v>2.546234135282524</v>
      </c>
      <c r="N75" s="30">
        <f>IF('E-Barrows'!A75&lt;'Adj-Barrows'!$B$10,1/L75," ")</f>
        <v>2.4130694430930983</v>
      </c>
      <c r="O75" s="19"/>
      <c r="P75" s="31">
        <f t="shared" si="6"/>
        <v>2.3262842232886527</v>
      </c>
      <c r="Q75" s="31">
        <f t="shared" si="7"/>
        <v>5.6134853751674081</v>
      </c>
      <c r="R75" s="31">
        <f t="shared" si="8"/>
        <v>119.10214359408381</v>
      </c>
    </row>
    <row r="76" spans="1:18" x14ac:dyDescent="0.25">
      <c r="A76" s="28">
        <f>IF('E-Barrows'!A76&lt;'Adj-Barrows'!$B$10,'E-Barrows'!B76," ")</f>
        <v>50.486824296157579</v>
      </c>
      <c r="B76" s="26">
        <f>IF('E-Barrows'!A76&lt;'Adj-Barrows'!$B$10,'E-Barrows'!A76," ")</f>
        <v>94</v>
      </c>
      <c r="C76" s="26">
        <f>IF('E-Barrows'!A76&lt;'Adj-Barrows'!$B$10,'E-Barrows'!C76," ")</f>
        <v>962.40643588559749</v>
      </c>
      <c r="D76" s="28">
        <f>IF('E-Barrows'!A76&lt;'Adj-Barrows'!$B$10,'E-Barrows'!G76," ")</f>
        <v>74.521511527383879</v>
      </c>
      <c r="E76" s="27">
        <f>IF('E-Barrows'!A76&lt;'Adj-Barrows'!$B$10,'E-Barrows'!D76," ")</f>
        <v>0.46273116262869002</v>
      </c>
      <c r="F76" s="27"/>
      <c r="G76" s="92">
        <f t="shared" si="5"/>
        <v>94</v>
      </c>
      <c r="H76" s="28">
        <f>IF('E-Barrows'!A76&lt;'Adj-Barrows'!$B$10,'E-Barrows'!I76," ")</f>
        <v>55.084765434041167</v>
      </c>
      <c r="I76" s="24">
        <f>IF('E-Barrows'!A76&lt;'Adj-Barrows'!$B$10,'E-Barrows'!A76," ")</f>
        <v>94</v>
      </c>
      <c r="J76" s="26">
        <f>IF('E-Barrows'!A76&lt;'Adj-Barrows'!$B$10,'E-Barrows'!J76," ")</f>
        <v>1060.9418491203651</v>
      </c>
      <c r="K76" s="28">
        <f>IF('E-Barrows'!A76&lt;'Adj-Barrows'!$B$10,'E-Barrows'!N76," ")</f>
        <v>92.532618503354968</v>
      </c>
      <c r="L76" s="27">
        <f>IF('E-Barrows'!A76&lt;'Adj-Barrows'!$B$10,'E-Barrows'!K76," ")</f>
        <v>0.4108171951606322</v>
      </c>
      <c r="M76" s="28">
        <f>IF('E-Barrows'!A76&lt;'Adj-Barrows'!$B$10,'E-Barrows'!M76," ")</f>
        <v>2.5825156824449129</v>
      </c>
      <c r="N76" s="30">
        <f>IF('E-Barrows'!A76&lt;'Adj-Barrows'!$B$10,1/L76," ")</f>
        <v>2.4341726971992821</v>
      </c>
      <c r="O76" s="19"/>
      <c r="P76" s="31">
        <f t="shared" si="6"/>
        <v>2.3389764010368275</v>
      </c>
      <c r="Q76" s="31">
        <f t="shared" si="7"/>
        <v>5.6934724947972848</v>
      </c>
      <c r="R76" s="31">
        <f t="shared" si="8"/>
        <v>121.44111999512066</v>
      </c>
    </row>
    <row r="77" spans="1:18" x14ac:dyDescent="0.25">
      <c r="A77" s="28">
        <f>IF('E-Barrows'!A77&lt;'Adj-Barrows'!$B$10,'E-Barrows'!B77," ")</f>
        <v>51.454278206778739</v>
      </c>
      <c r="B77" s="26">
        <f>IF('E-Barrows'!A77&lt;'Adj-Barrows'!$B$10,'E-Barrows'!A77," ")</f>
        <v>95</v>
      </c>
      <c r="C77" s="26">
        <f>IF('E-Barrows'!A77&lt;'Adj-Barrows'!$B$10,'E-Barrows'!C77," ")</f>
        <v>967.45391062115971</v>
      </c>
      <c r="D77" s="28">
        <f>IF('E-Barrows'!A77&lt;'Adj-Barrows'!$B$10,'E-Barrows'!G77," ")</f>
        <v>76.630071395093722</v>
      </c>
      <c r="E77" s="27">
        <f>IF('E-Barrows'!A77&lt;'Adj-Barrows'!$B$10,'E-Barrows'!D77," ")</f>
        <v>0.4588221209350502</v>
      </c>
      <c r="F77" s="27"/>
      <c r="G77" s="92">
        <f t="shared" si="5"/>
        <v>95</v>
      </c>
      <c r="H77" s="28">
        <f>IF('E-Barrows'!A77&lt;'Adj-Barrows'!$B$10,'E-Barrows'!I77," ")</f>
        <v>56.151271540610004</v>
      </c>
      <c r="I77" s="24">
        <f>IF('E-Barrows'!A77&lt;'Adj-Barrows'!$B$10,'E-Barrows'!A77," ")</f>
        <v>95</v>
      </c>
      <c r="J77" s="26">
        <f>IF('E-Barrows'!A77&lt;'Adj-Barrows'!$B$10,'E-Barrows'!J77," ")</f>
        <v>1066.506106568839</v>
      </c>
      <c r="K77" s="28">
        <f>IF('E-Barrows'!A77&lt;'Adj-Barrows'!$B$10,'E-Barrows'!N77," ")</f>
        <v>95.150796286270491</v>
      </c>
      <c r="L77" s="27">
        <f>IF('E-Barrows'!A77&lt;'Adj-Barrows'!$B$10,'E-Barrows'!K77," ")</f>
        <v>0.40734671019215885</v>
      </c>
      <c r="M77" s="28">
        <f>IF('E-Barrows'!A77&lt;'Adj-Barrows'!$B$10,'E-Barrows'!M77," ")</f>
        <v>2.6181777829155242</v>
      </c>
      <c r="N77" s="30">
        <f>IF('E-Barrows'!A77&lt;'Adj-Barrows'!$B$10,1/L77," ")</f>
        <v>2.454911197216413</v>
      </c>
      <c r="O77" s="19"/>
      <c r="P77" s="31">
        <f t="shared" si="6"/>
        <v>2.3512434888815235</v>
      </c>
      <c r="Q77" s="31">
        <f t="shared" si="7"/>
        <v>5.7720939682374377</v>
      </c>
      <c r="R77" s="31">
        <f t="shared" si="8"/>
        <v>123.79236348400218</v>
      </c>
    </row>
    <row r="78" spans="1:18" x14ac:dyDescent="0.25">
      <c r="A78" s="28">
        <f>IF('E-Barrows'!A78&lt;'Adj-Barrows'!$B$10,'E-Barrows'!B78," ")</f>
        <v>52.426605172365491</v>
      </c>
      <c r="B78" s="26">
        <f>IF('E-Barrows'!A78&lt;'Adj-Barrows'!$B$10,'E-Barrows'!A78," ")</f>
        <v>96</v>
      </c>
      <c r="C78" s="26">
        <f>IF('E-Barrows'!A78&lt;'Adj-Barrows'!$B$10,'E-Barrows'!C78," ")</f>
        <v>972.32696558675252</v>
      </c>
      <c r="D78" s="28">
        <f>IF('E-Barrows'!A78&lt;'Adj-Barrows'!$B$10,'E-Barrows'!G78," ")</f>
        <v>78.766843430430029</v>
      </c>
      <c r="E78" s="27">
        <f>IF('E-Barrows'!A78&lt;'Adj-Barrows'!$B$10,'E-Barrows'!D78," ")</f>
        <v>0.45504478227304967</v>
      </c>
      <c r="F78" s="27"/>
      <c r="G78" s="92">
        <f t="shared" si="5"/>
        <v>96</v>
      </c>
      <c r="H78" s="28">
        <f>IF('E-Barrows'!A78&lt;'Adj-Barrows'!$B$10,'E-Barrows'!I78," ")</f>
        <v>57.223149626992452</v>
      </c>
      <c r="I78" s="24">
        <f>IF('E-Barrows'!A78&lt;'Adj-Barrows'!$B$10,'E-Barrows'!A78," ")</f>
        <v>96</v>
      </c>
      <c r="J78" s="26">
        <f>IF('E-Barrows'!A78&lt;'Adj-Barrows'!$B$10,'E-Barrows'!J78," ")</f>
        <v>1071.8780863824443</v>
      </c>
      <c r="K78" s="28">
        <f>IF('E-Barrows'!A78&lt;'Adj-Barrows'!$B$10,'E-Barrows'!N78," ")</f>
        <v>97.804004836686929</v>
      </c>
      <c r="L78" s="27">
        <f>IF('E-Barrows'!A78&lt;'Adj-Barrows'!$B$10,'E-Barrows'!K78," ")</f>
        <v>0.40399315244714029</v>
      </c>
      <c r="M78" s="28">
        <f>IF('E-Barrows'!A78&lt;'Adj-Barrows'!$B$10,'E-Barrows'!M78," ")</f>
        <v>2.653208550416438</v>
      </c>
      <c r="N78" s="30">
        <f>IF('E-Barrows'!A78&lt;'Adj-Barrows'!$B$10,1/L78," ")</f>
        <v>2.4752894793949336</v>
      </c>
      <c r="O78" s="19"/>
      <c r="P78" s="31">
        <f t="shared" si="6"/>
        <v>2.363086677102713</v>
      </c>
      <c r="Q78" s="31">
        <f t="shared" si="7"/>
        <v>5.8493235907306769</v>
      </c>
      <c r="R78" s="31">
        <f t="shared" si="8"/>
        <v>126.15545016110488</v>
      </c>
    </row>
    <row r="79" spans="1:18" x14ac:dyDescent="0.25">
      <c r="A79" s="28">
        <f>IF('E-Barrows'!A79&lt;'Adj-Barrows'!$B$10,'E-Barrows'!B79," ")</f>
        <v>53.403631343436537</v>
      </c>
      <c r="B79" s="26">
        <f>IF('E-Barrows'!A79&lt;'Adj-Barrows'!$B$10,'E-Barrows'!A79," ")</f>
        <v>97</v>
      </c>
      <c r="C79" s="26">
        <f>IF('E-Barrows'!A79&lt;'Adj-Barrows'!$B$10,'E-Barrows'!C79," ")</f>
        <v>977.02617107104572</v>
      </c>
      <c r="D79" s="28">
        <f>IF('E-Barrows'!A79&lt;'Adj-Barrows'!$B$10,'E-Barrows'!G79," ")</f>
        <v>80.931310706429983</v>
      </c>
      <c r="E79" s="27">
        <f>IF('E-Barrows'!A79&lt;'Adj-Barrows'!$B$10,'E-Barrows'!D79," ")</f>
        <v>0.45139336681339964</v>
      </c>
      <c r="F79" s="27"/>
      <c r="G79" s="92">
        <f t="shared" si="5"/>
        <v>97</v>
      </c>
      <c r="H79" s="28">
        <f>IF('E-Barrows'!A79&lt;'Adj-Barrows'!$B$10,'E-Barrows'!I79," ")</f>
        <v>58.30020804423097</v>
      </c>
      <c r="I79" s="24">
        <f>IF('E-Barrows'!A79&lt;'Adj-Barrows'!$B$10,'E-Barrows'!A79," ")</f>
        <v>97</v>
      </c>
      <c r="J79" s="26">
        <f>IF('E-Barrows'!A79&lt;'Adj-Barrows'!$B$10,'E-Barrows'!J79," ")</f>
        <v>1077.0584172385186</v>
      </c>
      <c r="K79" s="28">
        <f>IF('E-Barrows'!A79&lt;'Adj-Barrows'!$B$10,'E-Barrows'!N79," ")</f>
        <v>100.49160229154401</v>
      </c>
      <c r="L79" s="27">
        <f>IF('E-Barrows'!A79&lt;'Adj-Barrows'!$B$10,'E-Barrows'!K79," ")</f>
        <v>0.4007513905373134</v>
      </c>
      <c r="M79" s="28">
        <f>IF('E-Barrows'!A79&lt;'Adj-Barrows'!$B$10,'E-Barrows'!M79," ")</f>
        <v>2.6875974548570789</v>
      </c>
      <c r="N79" s="30">
        <f>IF('E-Barrows'!A79&lt;'Adj-Barrows'!$B$10,1/L79," ")</f>
        <v>2.4953126142849689</v>
      </c>
      <c r="O79" s="19"/>
      <c r="P79" s="31">
        <f t="shared" si="6"/>
        <v>2.3745073516966753</v>
      </c>
      <c r="Q79" s="31">
        <f t="shared" si="7"/>
        <v>5.9251381474011104</v>
      </c>
      <c r="R79" s="31">
        <f t="shared" si="8"/>
        <v>128.52995751280159</v>
      </c>
    </row>
    <row r="80" spans="1:18" x14ac:dyDescent="0.25">
      <c r="A80" s="28">
        <f>IF('E-Barrows'!A80&lt;'Adj-Barrows'!$B$10,'E-Barrows'!B80," ")</f>
        <v>54.385183519277625</v>
      </c>
      <c r="B80" s="26">
        <f>IF('E-Barrows'!A80&lt;'Adj-Barrows'!$B$10,'E-Barrows'!A80," ")</f>
        <v>98</v>
      </c>
      <c r="C80" s="26">
        <f>IF('E-Barrows'!A80&lt;'Adj-Barrows'!$B$10,'E-Barrows'!C80," ")</f>
        <v>981.55217584108811</v>
      </c>
      <c r="D80" s="28">
        <f>IF('E-Barrows'!A80&lt;'Adj-Barrows'!$B$10,'E-Barrows'!G80," ")</f>
        <v>83.122948888246427</v>
      </c>
      <c r="E80" s="27">
        <f>IF('E-Barrows'!A80&lt;'Adj-Barrows'!$B$10,'E-Barrows'!D80," ")</f>
        <v>0.44786232690451316</v>
      </c>
      <c r="F80" s="27"/>
      <c r="G80" s="92">
        <f t="shared" si="5"/>
        <v>98</v>
      </c>
      <c r="H80" s="28">
        <f>IF('E-Barrows'!A80&lt;'Adj-Barrows'!$B$10,'E-Barrows'!I80," ")</f>
        <v>59.382255858558715</v>
      </c>
      <c r="I80" s="24">
        <f>IF('E-Barrows'!A80&lt;'Adj-Barrows'!$B$10,'E-Barrows'!A80," ")</f>
        <v>98</v>
      </c>
      <c r="J80" s="26">
        <f>IF('E-Barrows'!A80&lt;'Adj-Barrows'!$B$10,'E-Barrows'!J80," ")</f>
        <v>1082.0478143277408</v>
      </c>
      <c r="K80" s="28">
        <f>IF('E-Barrows'!A80&lt;'Adj-Barrows'!$B$10,'E-Barrows'!N80," ")</f>
        <v>103.21293758948529</v>
      </c>
      <c r="L80" s="27">
        <f>IF('E-Barrows'!A80&lt;'Adj-Barrows'!$B$10,'E-Barrows'!K80," ")</f>
        <v>0.39761649920402098</v>
      </c>
      <c r="M80" s="28">
        <f>IF('E-Barrows'!A80&lt;'Adj-Barrows'!$B$10,'E-Barrows'!M80," ")</f>
        <v>2.7213352979412742</v>
      </c>
      <c r="N80" s="30">
        <f>IF('E-Barrows'!A80&lt;'Adj-Barrows'!$B$10,1/L80," ")</f>
        <v>2.5149861788982002</v>
      </c>
      <c r="O80" s="19"/>
      <c r="P80" s="31">
        <f t="shared" si="6"/>
        <v>2.3855070893889612</v>
      </c>
      <c r="Q80" s="31">
        <f t="shared" si="7"/>
        <v>5.9995173594769113</v>
      </c>
      <c r="R80" s="31">
        <f t="shared" si="8"/>
        <v>130.91546460219053</v>
      </c>
    </row>
    <row r="81" spans="1:18" x14ac:dyDescent="0.25">
      <c r="A81" s="28">
        <f>IF('E-Barrows'!A81&lt;'Adj-Barrows'!$B$10,'E-Barrows'!B81," ")</f>
        <v>55.371089224340842</v>
      </c>
      <c r="B81" s="26">
        <f>IF('E-Barrows'!A81&lt;'Adj-Barrows'!$B$10,'E-Barrows'!A81," ")</f>
        <v>99</v>
      </c>
      <c r="C81" s="26">
        <f>IF('E-Barrows'!A81&lt;'Adj-Barrows'!$B$10,'E-Barrows'!C81," ")</f>
        <v>985.9057050632174</v>
      </c>
      <c r="D81" s="28">
        <f>IF('E-Barrows'!A81&lt;'Adj-Barrows'!$B$10,'E-Barrows'!G81," ")</f>
        <v>85.341227283350122</v>
      </c>
      <c r="E81" s="27">
        <f>IF('E-Barrows'!A81&lt;'Adj-Barrows'!$B$10,'E-Barrows'!D81," ")</f>
        <v>0.44444633605924377</v>
      </c>
      <c r="F81" s="27"/>
      <c r="G81" s="92">
        <f t="shared" si="5"/>
        <v>99</v>
      </c>
      <c r="H81" s="28">
        <f>IF('E-Barrows'!A81&lt;'Adj-Barrows'!$B$10,'E-Barrows'!I81," ")</f>
        <v>60.469102935620889</v>
      </c>
      <c r="I81" s="24">
        <f>IF('E-Barrows'!A81&lt;'Adj-Barrows'!$B$10,'E-Barrows'!A81," ")</f>
        <v>99</v>
      </c>
      <c r="J81" s="26">
        <f>IF('E-Barrows'!A81&lt;'Adj-Barrows'!$B$10,'E-Barrows'!J81," ")</f>
        <v>1086.847077062175</v>
      </c>
      <c r="K81" s="28">
        <f>IF('E-Barrows'!A81&lt;'Adj-Barrows'!$B$10,'E-Barrows'!N81," ")</f>
        <v>105.96735177488381</v>
      </c>
      <c r="L81" s="27">
        <f>IF('E-Barrows'!A81&lt;'Adj-Barrows'!$B$10,'E-Barrows'!K81," ")</f>
        <v>0.39458374954053216</v>
      </c>
      <c r="M81" s="28">
        <f>IF('E-Barrows'!A81&lt;'Adj-Barrows'!$B$10,'E-Barrows'!M81," ")</f>
        <v>2.7544141853985109</v>
      </c>
      <c r="N81" s="30">
        <f>IF('E-Barrows'!A81&lt;'Adj-Barrows'!$B$10,1/L81," ")</f>
        <v>2.5343162285938963</v>
      </c>
      <c r="O81" s="19"/>
      <c r="P81" s="31">
        <f t="shared" si="6"/>
        <v>2.3960876525814907</v>
      </c>
      <c r="Q81" s="31">
        <f t="shared" si="7"/>
        <v>6.0724438230707243</v>
      </c>
      <c r="R81" s="31">
        <f t="shared" si="8"/>
        <v>133.31155225477204</v>
      </c>
    </row>
    <row r="82" spans="1:18" x14ac:dyDescent="0.25">
      <c r="A82" s="28">
        <f>IF('E-Barrows'!A82&lt;'Adj-Barrows'!$B$10,'E-Barrows'!B82," ")</f>
        <v>56.361176782540646</v>
      </c>
      <c r="B82" s="26">
        <f>IF('E-Barrows'!A82&lt;'Adj-Barrows'!$B$10,'E-Barrows'!A82," ")</f>
        <v>100</v>
      </c>
      <c r="C82" s="26">
        <f>IF('E-Barrows'!A82&lt;'Adj-Barrows'!$B$10,'E-Barrows'!C82," ")</f>
        <v>990.08755819980365</v>
      </c>
      <c r="D82" s="28">
        <f>IF('E-Barrows'!A82&lt;'Adj-Barrows'!$B$10,'E-Barrows'!G82," ")</f>
        <v>87.585609866869106</v>
      </c>
      <c r="E82" s="27">
        <f>IF('E-Barrows'!A82&lt;'Adj-Barrows'!$B$10,'E-Barrows'!D82," ")</f>
        <v>0.44114027860946836</v>
      </c>
      <c r="F82" s="27"/>
      <c r="G82" s="92">
        <f t="shared" si="5"/>
        <v>100</v>
      </c>
      <c r="H82" s="28">
        <f>IF('E-Barrows'!A82&lt;'Adj-Barrows'!$B$10,'E-Barrows'!I82," ")</f>
        <v>61.560560022377558</v>
      </c>
      <c r="I82" s="24">
        <f>IF('E-Barrows'!A82&lt;'Adj-Barrows'!$B$10,'E-Barrows'!A82," ")</f>
        <v>100</v>
      </c>
      <c r="J82" s="26">
        <f>IF('E-Barrows'!A82&lt;'Adj-Barrows'!$B$10,'E-Barrows'!J82," ")</f>
        <v>1091.4570867566727</v>
      </c>
      <c r="K82" s="28">
        <f>IF('E-Barrows'!A82&lt;'Adj-Barrows'!$B$10,'E-Barrows'!N82," ")</f>
        <v>108.75417927099575</v>
      </c>
      <c r="L82" s="27">
        <f>IF('E-Barrows'!A82&lt;'Adj-Barrows'!$B$10,'E-Barrows'!K82," ")</f>
        <v>0.39164859980728089</v>
      </c>
      <c r="M82" s="28">
        <f>IF('E-Barrows'!A82&lt;'Adj-Barrows'!$B$10,'E-Barrows'!M82," ")</f>
        <v>2.7868274961119419</v>
      </c>
      <c r="N82" s="30">
        <f>IF('E-Barrows'!A82&lt;'Adj-Barrows'!$B$10,1/L82," ")</f>
        <v>2.5533092687987944</v>
      </c>
      <c r="O82" s="19"/>
      <c r="P82" s="31">
        <f t="shared" si="6"/>
        <v>2.4062509842409225</v>
      </c>
      <c r="Q82" s="31">
        <f t="shared" si="7"/>
        <v>6.1439029411185686</v>
      </c>
      <c r="R82" s="31">
        <f t="shared" si="8"/>
        <v>135.71780323901294</v>
      </c>
    </row>
    <row r="83" spans="1:18" x14ac:dyDescent="0.25">
      <c r="A83" s="28">
        <f>IF('E-Barrows'!A83&lt;'Adj-Barrows'!$B$10,'E-Barrows'!B83," ")</f>
        <v>57.355275389425373</v>
      </c>
      <c r="B83" s="26">
        <f>IF('E-Barrows'!A83&lt;'Adj-Barrows'!$B$10,'E-Barrows'!A83," ")</f>
        <v>101</v>
      </c>
      <c r="C83" s="26">
        <f>IF('E-Barrows'!A83&lt;'Adj-Barrows'!$B$10,'E-Barrows'!C83," ")</f>
        <v>994.09860688472668</v>
      </c>
      <c r="D83" s="28">
        <f>IF('E-Barrows'!A83&lt;'Adj-Barrows'!$B$10,'E-Barrows'!G83," ")</f>
        <v>89.855556279787649</v>
      </c>
      <c r="E83" s="27">
        <f>IF('E-Barrows'!A83&lt;'Adj-Barrows'!$B$10,'E-Barrows'!D83," ")</f>
        <v>0.43793923998698359</v>
      </c>
      <c r="F83" s="27"/>
      <c r="G83" s="92">
        <f t="shared" si="5"/>
        <v>101</v>
      </c>
      <c r="H83" s="28">
        <f>IF('E-Barrows'!A83&lt;'Adj-Barrows'!$B$10,'E-Barrows'!I83," ")</f>
        <v>62.656438826664392</v>
      </c>
      <c r="I83" s="24">
        <f>IF('E-Barrows'!A83&lt;'Adj-Barrows'!$B$10,'E-Barrows'!A83," ")</f>
        <v>101</v>
      </c>
      <c r="J83" s="26">
        <f>IF('E-Barrows'!A83&lt;'Adj-Barrows'!$B$10,'E-Barrows'!J83," ")</f>
        <v>1095.8788042868327</v>
      </c>
      <c r="K83" s="28">
        <f>IF('E-Barrows'!A83&lt;'Adj-Barrows'!$B$10,'E-Barrows'!N83," ")</f>
        <v>111.57274911941418</v>
      </c>
      <c r="L83" s="27">
        <f>IF('E-Barrows'!A83&lt;'Adj-Barrows'!$B$10,'E-Barrows'!K83," ")</f>
        <v>0.38880668680315222</v>
      </c>
      <c r="M83" s="28">
        <f>IF('E-Barrows'!A83&lt;'Adj-Barrows'!$B$10,'E-Barrows'!M83," ")</f>
        <v>2.8185698484184303</v>
      </c>
      <c r="N83" s="30">
        <f>IF('E-Barrows'!A83&lt;'Adj-Barrows'!$B$10,1/L83," ")</f>
        <v>2.5719722266666856</v>
      </c>
      <c r="O83" s="19"/>
      <c r="P83" s="31">
        <f t="shared" si="6"/>
        <v>2.4159992027353385</v>
      </c>
      <c r="Q83" s="31">
        <f t="shared" si="7"/>
        <v>6.213882849084146</v>
      </c>
      <c r="R83" s="31">
        <f t="shared" si="8"/>
        <v>138.13380244174829</v>
      </c>
    </row>
    <row r="84" spans="1:18" x14ac:dyDescent="0.25">
      <c r="A84" s="28">
        <f>IF('E-Barrows'!A84&lt;'Adj-Barrows'!$B$10,'E-Barrows'!B84," ")</f>
        <v>58.353215182206711</v>
      </c>
      <c r="B84" s="26">
        <f>IF('E-Barrows'!A84&lt;'Adj-Barrows'!$B$10,'E-Barrows'!A84," ")</f>
        <v>102</v>
      </c>
      <c r="C84" s="26">
        <f>IF('E-Barrows'!A84&lt;'Adj-Barrows'!$B$10,'E-Barrows'!C84," ")</f>
        <v>997.93979278133804</v>
      </c>
      <c r="D84" s="28">
        <f>IF('E-Barrows'!A84&lt;'Adj-Barrows'!$B$10,'E-Barrows'!G84," ")</f>
        <v>92.150522797949677</v>
      </c>
      <c r="E84" s="27">
        <f>IF('E-Barrows'!A84&lt;'Adj-Barrows'!$B$10,'E-Barrows'!D84," ")</f>
        <v>0.43483849759191973</v>
      </c>
      <c r="F84" s="27"/>
      <c r="G84" s="92">
        <f t="shared" si="5"/>
        <v>102</v>
      </c>
      <c r="H84" s="28">
        <f>IF('E-Barrows'!A84&lt;'Adj-Barrows'!$B$10,'E-Barrows'!I84," ")</f>
        <v>63.756552094392042</v>
      </c>
      <c r="I84" s="24">
        <f>IF('E-Barrows'!A84&lt;'Adj-Barrows'!$B$10,'E-Barrows'!A84," ")</f>
        <v>102</v>
      </c>
      <c r="J84" s="26">
        <f>IF('E-Barrows'!A84&lt;'Adj-Barrows'!$B$10,'E-Barrows'!J84," ")</f>
        <v>1100.113267727651</v>
      </c>
      <c r="K84" s="28">
        <f>IF('E-Barrows'!A84&lt;'Adj-Barrows'!$B$10,'E-Barrows'!N84," ")</f>
        <v>114.42238618327092</v>
      </c>
      <c r="L84" s="27">
        <f>IF('E-Barrows'!A84&lt;'Adj-Barrows'!$B$10,'E-Barrows'!K84," ")</f>
        <v>0.38605381775837178</v>
      </c>
      <c r="M84" s="28">
        <f>IF('E-Barrows'!A84&lt;'Adj-Barrows'!$B$10,'E-Barrows'!M84," ")</f>
        <v>2.8496370638567385</v>
      </c>
      <c r="N84" s="30">
        <f>IF('E-Barrows'!A84&lt;'Adj-Barrows'!$B$10,1/L84," ")</f>
        <v>2.590312422777004</v>
      </c>
      <c r="O84" s="19"/>
      <c r="P84" s="31">
        <f t="shared" si="6"/>
        <v>2.4253345966283582</v>
      </c>
      <c r="Q84" s="31">
        <f t="shared" si="7"/>
        <v>6.2823743350372903</v>
      </c>
      <c r="R84" s="31">
        <f t="shared" si="8"/>
        <v>140.55913703837663</v>
      </c>
    </row>
    <row r="85" spans="1:18" x14ac:dyDescent="0.25">
      <c r="A85" s="28">
        <f>IF('E-Barrows'!A85&lt;'Adj-Barrows'!$B$10,'E-Barrows'!B85," ")</f>
        <v>59.354827307631602</v>
      </c>
      <c r="B85" s="26">
        <f>IF('E-Barrows'!A85&lt;'Adj-Barrows'!$B$10,'E-Barrows'!A85," ")</f>
        <v>103</v>
      </c>
      <c r="C85" s="26">
        <f>IF('E-Barrows'!A85&lt;'Adj-Barrows'!$B$10,'E-Barrows'!C85," ")</f>
        <v>1001.6121254248915</v>
      </c>
      <c r="D85" s="28">
        <f>IF('E-Barrows'!A85&lt;'Adj-Barrows'!$B$10,'E-Barrows'!G85," ")</f>
        <v>94.469963270033176</v>
      </c>
      <c r="E85" s="27">
        <f>IF('E-Barrows'!A85&lt;'Adj-Barrows'!$B$10,'E-Barrows'!D85," ")</f>
        <v>0.43183351221131555</v>
      </c>
      <c r="F85" s="27"/>
      <c r="G85" s="92">
        <f t="shared" si="5"/>
        <v>103</v>
      </c>
      <c r="H85" s="28">
        <f>IF('E-Barrows'!A85&lt;'Adj-Barrows'!$B$10,'E-Barrows'!I85," ")</f>
        <v>64.860713684367099</v>
      </c>
      <c r="I85" s="24">
        <f>IF('E-Barrows'!A85&lt;'Adj-Barrows'!$B$10,'E-Barrows'!A85," ")</f>
        <v>103</v>
      </c>
      <c r="J85" s="26">
        <f>IF('E-Barrows'!A85&lt;'Adj-Barrows'!$B$10,'E-Barrows'!J85," ")</f>
        <v>1104.1615899750511</v>
      </c>
      <c r="K85" s="28">
        <f>IF('E-Barrows'!A85&lt;'Adj-Barrows'!$B$10,'E-Barrows'!N85," ")</f>
        <v>117.30241231191</v>
      </c>
      <c r="L85" s="27">
        <f>IF('E-Barrows'!A85&lt;'Adj-Barrows'!$B$10,'E-Barrows'!K85," ")</f>
        <v>0.38338596271583358</v>
      </c>
      <c r="M85" s="28">
        <f>IF('E-Barrows'!A85&lt;'Adj-Barrows'!$B$10,'E-Barrows'!M85," ")</f>
        <v>2.880026128639086</v>
      </c>
      <c r="N85" s="30">
        <f>IF('E-Barrows'!A85&lt;'Adj-Barrows'!$B$10,1/L85," ")</f>
        <v>2.608337542971551</v>
      </c>
      <c r="O85" s="19"/>
      <c r="P85" s="31">
        <f t="shared" si="6"/>
        <v>2.4342596194355099</v>
      </c>
      <c r="Q85" s="31">
        <f t="shared" si="7"/>
        <v>6.3493707547132816</v>
      </c>
      <c r="R85" s="31">
        <f t="shared" si="8"/>
        <v>142.99339665781216</v>
      </c>
    </row>
    <row r="86" spans="1:18" x14ac:dyDescent="0.25">
      <c r="A86" s="28">
        <f>IF('E-Barrows'!A86&lt;'Adj-Barrows'!$B$10,'E-Barrows'!B86," ")</f>
        <v>60.359943987684801</v>
      </c>
      <c r="B86" s="26">
        <f>IF('E-Barrows'!A86&lt;'Adj-Barrows'!$B$10,'E-Barrows'!A86," ")</f>
        <v>104</v>
      </c>
      <c r="C86" s="26">
        <f>IF('E-Barrows'!A86&lt;'Adj-Barrows'!$B$10,'E-Barrows'!C86," ")</f>
        <v>1005.1166800531987</v>
      </c>
      <c r="D86" s="28">
        <f>IF('E-Barrows'!A86&lt;'Adj-Barrows'!$B$10,'E-Barrows'!G86," ")</f>
        <v>96.813330022881487</v>
      </c>
      <c r="E86" s="27">
        <f>IF('E-Barrows'!A86&lt;'Adj-Barrows'!$B$10,'E-Barrows'!D86," ")</f>
        <v>0.42891991995341694</v>
      </c>
      <c r="F86" s="27"/>
      <c r="G86" s="92">
        <f t="shared" si="5"/>
        <v>104</v>
      </c>
      <c r="H86" s="28">
        <f>IF('E-Barrows'!A86&lt;'Adj-Barrows'!$B$10,'E-Barrows'!I86," ")</f>
        <v>65.968738640721526</v>
      </c>
      <c r="I86" s="24">
        <f>IF('E-Barrows'!A86&lt;'Adj-Barrows'!$B$10,'E-Barrows'!A86," ")</f>
        <v>104</v>
      </c>
      <c r="J86" s="26">
        <f>IF('E-Barrows'!A86&lt;'Adj-Barrows'!$B$10,'E-Barrows'!J86," ")</f>
        <v>1108.0249563544314</v>
      </c>
      <c r="K86" s="28">
        <f>IF('E-Barrows'!A86&lt;'Adj-Barrows'!$B$10,'E-Barrows'!N86," ")</f>
        <v>120.21214746502856</v>
      </c>
      <c r="L86" s="27">
        <f>IF('E-Barrows'!A86&lt;'Adj-Barrows'!$B$10,'E-Barrows'!K86," ")</f>
        <v>0.38079924737029258</v>
      </c>
      <c r="M86" s="28">
        <f>IF('E-Barrows'!A86&lt;'Adj-Barrows'!$B$10,'E-Barrows'!M86," ")</f>
        <v>2.9097351531185618</v>
      </c>
      <c r="N86" s="30">
        <f>IF('E-Barrows'!A86&lt;'Adj-Barrows'!$B$10,1/L86," ")</f>
        <v>2.6260556104187649</v>
      </c>
      <c r="O86" s="19"/>
      <c r="P86" s="31">
        <f t="shared" si="6"/>
        <v>2.4427768843519817</v>
      </c>
      <c r="Q86" s="31">
        <f t="shared" si="7"/>
        <v>6.4148679421537924</v>
      </c>
      <c r="R86" s="31">
        <f t="shared" si="8"/>
        <v>145.43617354216411</v>
      </c>
    </row>
    <row r="87" spans="1:18" x14ac:dyDescent="0.25">
      <c r="A87" s="28">
        <f>IF('E-Barrows'!A87&lt;'Adj-Barrows'!$B$10,'E-Barrows'!B87," ")</f>
        <v>61.368398583112921</v>
      </c>
      <c r="B87" s="26">
        <f>IF('E-Barrows'!A87&lt;'Adj-Barrows'!$B$10,'E-Barrows'!A87," ")</f>
        <v>105</v>
      </c>
      <c r="C87" s="26">
        <f>IF('E-Barrows'!A87&lt;'Adj-Barrows'!$B$10,'E-Barrows'!C87," ")</f>
        <v>1008.4545954281197</v>
      </c>
      <c r="D87" s="28">
        <f>IF('E-Barrows'!A87&lt;'Adj-Barrows'!$B$10,'E-Barrows'!G87," ")</f>
        <v>99.18007473279367</v>
      </c>
      <c r="E87" s="27">
        <f>IF('E-Barrows'!A87&lt;'Adj-Barrows'!$B$10,'E-Barrows'!D87," ")</f>
        <v>0.42609352466474326</v>
      </c>
      <c r="F87" s="27"/>
      <c r="G87" s="92">
        <f t="shared" si="5"/>
        <v>105</v>
      </c>
      <c r="H87" s="28">
        <f>IF('E-Barrows'!A87&lt;'Adj-Barrows'!$B$10,'E-Barrows'!I87," ")</f>
        <v>67.080443262940634</v>
      </c>
      <c r="I87" s="24">
        <f>IF('E-Barrows'!A87&lt;'Adj-Barrows'!$B$10,'E-Barrows'!A87," ")</f>
        <v>105</v>
      </c>
      <c r="J87" s="26">
        <f>IF('E-Barrows'!A87&lt;'Adj-Barrows'!$B$10,'E-Barrows'!J87," ")</f>
        <v>1111.7046222191107</v>
      </c>
      <c r="K87" s="28">
        <f>IF('E-Barrows'!A87&lt;'Adj-Barrows'!$B$10,'E-Barrows'!N87," ")</f>
        <v>123.15091079454938</v>
      </c>
      <c r="L87" s="27">
        <f>IF('E-Barrows'!A87&lt;'Adj-Barrows'!$B$10,'E-Barrows'!K87," ")</f>
        <v>0.37828994633616303</v>
      </c>
      <c r="M87" s="28">
        <f>IF('E-Barrows'!A87&lt;'Adj-Barrows'!$B$10,'E-Barrows'!M87," ")</f>
        <v>2.9387633295208091</v>
      </c>
      <c r="N87" s="30">
        <f>IF('E-Barrows'!A87&lt;'Adj-Barrows'!$B$10,1/L87," ")</f>
        <v>2.6434749579925696</v>
      </c>
      <c r="O87" s="19"/>
      <c r="P87" s="31">
        <f t="shared" si="6"/>
        <v>2.4508891589580983</v>
      </c>
      <c r="Q87" s="31">
        <f t="shared" si="7"/>
        <v>6.478864116521204</v>
      </c>
      <c r="R87" s="31">
        <f t="shared" si="8"/>
        <v>147.88706270112223</v>
      </c>
    </row>
    <row r="88" spans="1:18" x14ac:dyDescent="0.25">
      <c r="A88" s="28">
        <f>IF('E-Barrows'!A88&lt;'Adj-Barrows'!$B$10,'E-Barrows'!B88," ")</f>
        <v>62.380025654763664</v>
      </c>
      <c r="B88" s="26">
        <f>IF('E-Barrows'!A88&lt;'Adj-Barrows'!$B$10,'E-Barrows'!A88," ")</f>
        <v>106</v>
      </c>
      <c r="C88" s="26">
        <f>IF('E-Barrows'!A88&lt;'Adj-Barrows'!$B$10,'E-Barrows'!C88," ")</f>
        <v>1011.6270716507429</v>
      </c>
      <c r="D88" s="28">
        <f>IF('E-Barrows'!A88&lt;'Adj-Barrows'!$B$10,'E-Barrows'!G88," ")</f>
        <v>101.56964926158757</v>
      </c>
      <c r="E88" s="27">
        <f>IF('E-Barrows'!A88&lt;'Adj-Barrows'!$B$10,'E-Barrows'!D88," ")</f>
        <v>0.42335029079898379</v>
      </c>
      <c r="F88" s="27"/>
      <c r="G88" s="92">
        <f t="shared" si="5"/>
        <v>106</v>
      </c>
      <c r="H88" s="28">
        <f>IF('E-Barrows'!A88&lt;'Adj-Barrows'!$B$10,'E-Barrows'!I88," ")</f>
        <v>68.195645173482447</v>
      </c>
      <c r="I88" s="24">
        <f>IF('E-Barrows'!A88&lt;'Adj-Barrows'!$B$10,'E-Barrows'!A88," ")</f>
        <v>106</v>
      </c>
      <c r="J88" s="26">
        <f>IF('E-Barrows'!A88&lt;'Adj-Barrows'!$B$10,'E-Barrows'!J88," ")</f>
        <v>1115.2019105418171</v>
      </c>
      <c r="K88" s="28">
        <f>IF('E-Barrows'!A88&lt;'Adj-Barrows'!$B$10,'E-Barrows'!N88," ")</f>
        <v>126.11802168275203</v>
      </c>
      <c r="L88" s="27">
        <f>IF('E-Barrows'!A88&lt;'Adj-Barrows'!$B$10,'E-Barrows'!K88," ")</f>
        <v>0.37585447681645556</v>
      </c>
      <c r="M88" s="28">
        <f>IF('E-Barrows'!A88&lt;'Adj-Barrows'!$B$10,'E-Barrows'!M88," ")</f>
        <v>2.9671108882026536</v>
      </c>
      <c r="N88" s="30">
        <f>IF('E-Barrows'!A88&lt;'Adj-Barrows'!$B$10,1/L88," ")</f>
        <v>2.6606042010465107</v>
      </c>
      <c r="O88" s="19"/>
      <c r="P88" s="31">
        <f t="shared" si="6"/>
        <v>2.4585993599094649</v>
      </c>
      <c r="Q88" s="31">
        <f t="shared" si="7"/>
        <v>6.5413597856653833</v>
      </c>
      <c r="R88" s="31">
        <f t="shared" si="8"/>
        <v>150.34566206103167</v>
      </c>
    </row>
    <row r="89" spans="1:18" x14ac:dyDescent="0.25">
      <c r="A89" s="28">
        <f>IF('E-Barrows'!A89&lt;'Adj-Barrows'!$B$10,'E-Barrows'!B89," ")</f>
        <v>63.394661022736585</v>
      </c>
      <c r="B89" s="26">
        <f>IF('E-Barrows'!A89&lt;'Adj-Barrows'!$B$10,'E-Barrows'!A89," ")</f>
        <v>107</v>
      </c>
      <c r="C89" s="26">
        <f>IF('E-Barrows'!A89&lt;'Adj-Barrows'!$B$10,'E-Barrows'!C89," ")</f>
        <v>1014.6353679729216</v>
      </c>
      <c r="D89" s="28">
        <f>IF('E-Barrows'!A89&lt;'Adj-Barrows'!$B$10,'E-Barrows'!G89," ")</f>
        <v>103.98150645645532</v>
      </c>
      <c r="E89" s="27">
        <f>IF('E-Barrows'!A89&lt;'Adj-Barrows'!$B$10,'E-Barrows'!D89," ")</f>
        <v>0.42068633670848637</v>
      </c>
      <c r="F89" s="27"/>
      <c r="G89" s="92">
        <f t="shared" si="5"/>
        <v>107</v>
      </c>
      <c r="H89" s="28">
        <f>IF('E-Barrows'!A89&lt;'Adj-Barrows'!$B$10,'E-Barrows'!I89," ")</f>
        <v>69.314163382984603</v>
      </c>
      <c r="I89" s="24">
        <f>IF('E-Barrows'!A89&lt;'Adj-Barrows'!$B$10,'E-Barrows'!A89," ")</f>
        <v>107</v>
      </c>
      <c r="J89" s="26">
        <f>IF('E-Barrows'!A89&lt;'Adj-Barrows'!$B$10,'E-Barrows'!J89," ")</f>
        <v>1118.5182095021596</v>
      </c>
      <c r="K89" s="28">
        <f>IF('E-Barrows'!A89&lt;'Adj-Barrows'!$B$10,'E-Barrows'!N89," ")</f>
        <v>129.11280073544557</v>
      </c>
      <c r="L89" s="27">
        <f>IF('E-Barrows'!A89&lt;'Adj-Barrows'!$B$10,'E-Barrows'!K89," ")</f>
        <v>0.3734893926468964</v>
      </c>
      <c r="M89" s="28">
        <f>IF('E-Barrows'!A89&lt;'Adj-Barrows'!$B$10,'E-Barrows'!M89," ")</f>
        <v>2.9947790526935441</v>
      </c>
      <c r="N89" s="30">
        <f>IF('E-Barrows'!A89&lt;'Adj-Barrows'!$B$10,1/L89," ")</f>
        <v>2.6774522106586787</v>
      </c>
      <c r="O89" s="19"/>
      <c r="P89" s="31">
        <f t="shared" si="6"/>
        <v>2.4659105476182495</v>
      </c>
      <c r="Q89" s="31">
        <f t="shared" si="7"/>
        <v>6.6023576470070333</v>
      </c>
      <c r="R89" s="31">
        <f t="shared" si="8"/>
        <v>152.81157260864993</v>
      </c>
    </row>
    <row r="90" spans="1:18" x14ac:dyDescent="0.25">
      <c r="A90" s="28">
        <f>IF('E-Barrows'!A90&lt;'Adj-Barrows'!$B$10,'E-Barrows'!B90," ")</f>
        <v>64.412141823344825</v>
      </c>
      <c r="B90" s="26">
        <f>IF('E-Barrows'!A90&lt;'Adj-Barrows'!$B$10,'E-Barrows'!A90," ")</f>
        <v>108</v>
      </c>
      <c r="C90" s="26">
        <f>IF('E-Barrows'!A90&lt;'Adj-Barrows'!$B$10,'E-Barrows'!C90," ")</f>
        <v>1017.4808006082401</v>
      </c>
      <c r="D90" s="28">
        <f>IF('E-Barrows'!A90&lt;'Adj-Barrows'!$B$10,'E-Barrows'!G90," ")</f>
        <v>106.41510091283048</v>
      </c>
      <c r="E90" s="27">
        <f>IF('E-Barrows'!A90&lt;'Adj-Barrows'!$B$10,'E-Barrows'!D90," ")</f>
        <v>0.41809792833099119</v>
      </c>
      <c r="F90" s="27"/>
      <c r="G90" s="92">
        <f t="shared" si="5"/>
        <v>108</v>
      </c>
      <c r="H90" s="28">
        <f>IF('E-Barrows'!A90&lt;'Adj-Barrows'!$B$10,'E-Barrows'!I90," ")</f>
        <v>70.435818353058067</v>
      </c>
      <c r="I90" s="24">
        <f>IF('E-Barrows'!A90&lt;'Adj-Barrows'!$B$10,'E-Barrows'!A90," ")</f>
        <v>108</v>
      </c>
      <c r="J90" s="26">
        <f>IF('E-Barrows'!A90&lt;'Adj-Barrows'!$B$10,'E-Barrows'!J90," ")</f>
        <v>1121.6549700734711</v>
      </c>
      <c r="K90" s="28">
        <f>IF('E-Barrows'!A90&lt;'Adj-Barrows'!$B$10,'E-Barrows'!N90," ")</f>
        <v>132.13457072921301</v>
      </c>
      <c r="L90" s="27">
        <f>IF('E-Barrows'!A90&lt;'Adj-Barrows'!$B$10,'E-Barrows'!K90," ")</f>
        <v>0.3711913786909482</v>
      </c>
      <c r="M90" s="28">
        <f>IF('E-Barrows'!A90&lt;'Adj-Barrows'!$B$10,'E-Barrows'!M90," ")</f>
        <v>3.0217699937674318</v>
      </c>
      <c r="N90" s="30">
        <f>IF('E-Barrows'!A90&lt;'Adj-Barrows'!$B$10,1/L90," ")</f>
        <v>2.6940280874157754</v>
      </c>
      <c r="O90" s="19"/>
      <c r="P90" s="31">
        <f t="shared" si="6"/>
        <v>2.4728259209330861</v>
      </c>
      <c r="Q90" s="31">
        <f t="shared" si="7"/>
        <v>6.6618624862835141</v>
      </c>
      <c r="R90" s="31">
        <f t="shared" si="8"/>
        <v>155.284398529583</v>
      </c>
    </row>
    <row r="91" spans="1:18" x14ac:dyDescent="0.25">
      <c r="A91" s="28">
        <f>IF('E-Barrows'!A91&lt;'Adj-Barrows'!$B$10,'E-Barrows'!B91," ")</f>
        <v>65.432306563889369</v>
      </c>
      <c r="B91" s="26">
        <f>IF('E-Barrows'!A91&lt;'Adj-Barrows'!$B$10,'E-Barrows'!A91," ")</f>
        <v>109</v>
      </c>
      <c r="C91" s="26">
        <f>IF('E-Barrows'!A91&lt;'Adj-Barrows'!$B$10,'E-Barrows'!C91," ")</f>
        <v>1020.1647405445442</v>
      </c>
      <c r="D91" s="28">
        <f>IF('E-Barrows'!A91&lt;'Adj-Barrows'!$B$10,'E-Barrows'!G91," ")</f>
        <v>108.86988969967805</v>
      </c>
      <c r="E91" s="27">
        <f>IF('E-Barrows'!A91&lt;'Adj-Barrows'!$B$10,'E-Barrows'!D91," ")</f>
        <v>0.41558147324545669</v>
      </c>
      <c r="F91" s="27"/>
      <c r="G91" s="92">
        <f t="shared" si="5"/>
        <v>109</v>
      </c>
      <c r="H91" s="28">
        <f>IF('E-Barrows'!A91&lt;'Adj-Barrows'!$B$10,'E-Barrows'!I91," ")</f>
        <v>71.560432056669441</v>
      </c>
      <c r="I91" s="24">
        <f>IF('E-Barrows'!A91&lt;'Adj-Barrows'!$B$10,'E-Barrows'!A91," ")</f>
        <v>109</v>
      </c>
      <c r="J91" s="26">
        <f>IF('E-Barrows'!A91&lt;'Adj-Barrows'!$B$10,'E-Barrows'!J91," ")</f>
        <v>1124.6137036113762</v>
      </c>
      <c r="K91" s="28">
        <f>IF('E-Barrows'!A91&lt;'Adj-Barrows'!$B$10,'E-Barrows'!N91," ")</f>
        <v>135.18265751199669</v>
      </c>
      <c r="L91" s="27">
        <f>IF('E-Barrows'!A91&lt;'Adj-Barrows'!$B$10,'E-Barrows'!K91," ")</f>
        <v>0.36895724556251541</v>
      </c>
      <c r="M91" s="28">
        <f>IF('E-Barrows'!A91&lt;'Adj-Barrows'!$B$10,'E-Barrows'!M91," ")</f>
        <v>3.0480867827836811</v>
      </c>
      <c r="N91" s="30">
        <f>IF('E-Barrows'!A91&lt;'Adj-Barrows'!$B$10,1/L91," ")</f>
        <v>2.7103411358012264</v>
      </c>
      <c r="O91" s="19"/>
      <c r="P91" s="31">
        <f t="shared" si="6"/>
        <v>2.4793488118227742</v>
      </c>
      <c r="Q91" s="31">
        <f t="shared" si="7"/>
        <v>6.7198810746831583</v>
      </c>
      <c r="R91" s="31">
        <f t="shared" si="8"/>
        <v>157.76374734140578</v>
      </c>
    </row>
    <row r="92" spans="1:18" x14ac:dyDescent="0.25">
      <c r="A92" s="28">
        <f>IF('E-Barrows'!A92&lt;'Adj-Barrows'!$B$10,'E-Barrows'!B92," ")</f>
        <v>66.454995175250559</v>
      </c>
      <c r="B92" s="26">
        <f>IF('E-Barrows'!A92&lt;'Adj-Barrows'!$B$10,'E-Barrows'!A92," ")</f>
        <v>110</v>
      </c>
      <c r="C92" s="26">
        <f>IF('E-Barrows'!A92&lt;'Adj-Barrows'!$B$10,'E-Barrows'!C92," ")</f>
        <v>1022.6886113611897</v>
      </c>
      <c r="D92" s="28">
        <f>IF('E-Barrows'!A92&lt;'Adj-Barrows'!$B$10,'E-Barrows'!G92," ")</f>
        <v>111.34533304680282</v>
      </c>
      <c r="E92" s="27">
        <f>IF('E-Barrows'!A92&lt;'Adj-Barrows'!$B$10,'E-Barrows'!D92," ")</f>
        <v>0.41313351507278312</v>
      </c>
      <c r="F92" s="27"/>
      <c r="G92" s="92">
        <f t="shared" si="5"/>
        <v>110</v>
      </c>
      <c r="H92" s="28">
        <f>IF('E-Barrows'!A92&lt;'Adj-Barrows'!$B$10,'E-Barrows'!I92," ")</f>
        <v>72.687828036116997</v>
      </c>
      <c r="I92" s="24">
        <f>IF('E-Barrows'!A92&lt;'Adj-Barrows'!$B$10,'E-Barrows'!A92," ")</f>
        <v>110</v>
      </c>
      <c r="J92" s="26">
        <f>IF('E-Barrows'!A92&lt;'Adj-Barrows'!$B$10,'E-Barrows'!J92," ")</f>
        <v>1127.3959794475604</v>
      </c>
      <c r="K92" s="28">
        <f>IF('E-Barrows'!A92&lt;'Adj-Barrows'!$B$10,'E-Barrows'!N92," ")</f>
        <v>138.25639085652222</v>
      </c>
      <c r="L92" s="27">
        <f>IF('E-Barrows'!A92&lt;'Adj-Barrows'!$B$10,'E-Barrows'!K92," ")</f>
        <v>0.36678392465485204</v>
      </c>
      <c r="M92" s="28">
        <f>IF('E-Barrows'!A92&lt;'Adj-Barrows'!$B$10,'E-Barrows'!M92," ")</f>
        <v>3.0737333445255355</v>
      </c>
      <c r="N92" s="30">
        <f>IF('E-Barrows'!A92&lt;'Adj-Barrows'!$B$10,1/L92," ")</f>
        <v>2.726400839243464</v>
      </c>
      <c r="O92" s="19"/>
      <c r="P92" s="31">
        <f t="shared" si="6"/>
        <v>2.4854826800714491</v>
      </c>
      <c r="Q92" s="31">
        <f t="shared" si="7"/>
        <v>6.776422064871892</v>
      </c>
      <c r="R92" s="31">
        <f t="shared" si="8"/>
        <v>160.24923002147719</v>
      </c>
    </row>
    <row r="93" spans="1:18" x14ac:dyDescent="0.25">
      <c r="A93" s="28">
        <f>IF('E-Barrows'!A93&lt;'Adj-Barrows'!$B$10,'E-Barrows'!B93," ")</f>
        <v>67.480049062303436</v>
      </c>
      <c r="B93" s="26">
        <f>IF('E-Barrows'!A93&lt;'Adj-Barrows'!$B$10,'E-Barrows'!A93," ")</f>
        <v>111</v>
      </c>
      <c r="C93" s="26">
        <f>IF('E-Barrows'!A93&lt;'Adj-Barrows'!$B$10,'E-Barrows'!C93," ")</f>
        <v>1025.0538870528771</v>
      </c>
      <c r="D93" s="28">
        <f>IF('E-Barrows'!A93&lt;'Adj-Barrows'!$B$10,'E-Barrows'!G93," ")</f>
        <v>113.84089499394651</v>
      </c>
      <c r="E93" s="27">
        <f>IF('E-Barrows'!A93&lt;'Adj-Barrows'!$B$10,'E-Barrows'!D93," ")</f>
        <v>0.41075072819815611</v>
      </c>
      <c r="F93" s="27"/>
      <c r="G93" s="92">
        <f t="shared" si="5"/>
        <v>111</v>
      </c>
      <c r="H93" s="28">
        <f>IF('E-Barrows'!A93&lt;'Adj-Barrows'!$B$10,'E-Barrows'!I93," ")</f>
        <v>73.817831458607799</v>
      </c>
      <c r="I93" s="24">
        <f>IF('E-Barrows'!A93&lt;'Adj-Barrows'!$B$10,'E-Barrows'!A93," ")</f>
        <v>111</v>
      </c>
      <c r="J93" s="26">
        <f>IF('E-Barrows'!A93&lt;'Adj-Barrows'!$B$10,'E-Barrows'!J93," ")</f>
        <v>1130.0034224907995</v>
      </c>
      <c r="K93" s="28">
        <f>IF('E-Barrows'!A93&lt;'Adj-Barrows'!$B$10,'E-Barrows'!N93," ")</f>
        <v>141.35510526627598</v>
      </c>
      <c r="L93" s="27">
        <f>IF('E-Barrows'!A93&lt;'Adj-Barrows'!$B$10,'E-Barrows'!K93," ")</f>
        <v>0.36466846345500775</v>
      </c>
      <c r="M93" s="28">
        <f>IF('E-Barrows'!A93&lt;'Adj-Barrows'!$B$10,'E-Barrows'!M93," ")</f>
        <v>3.0987144097537724</v>
      </c>
      <c r="N93" s="30">
        <f>IF('E-Barrows'!A93&lt;'Adj-Barrows'!$B$10,1/L93," ")</f>
        <v>2.742216835877771</v>
      </c>
      <c r="O93" s="19"/>
      <c r="P93" s="31">
        <f t="shared" si="6"/>
        <v>2.4912311079897562</v>
      </c>
      <c r="Q93" s="31">
        <f t="shared" si="7"/>
        <v>6.8314958863919433</v>
      </c>
      <c r="R93" s="31">
        <f t="shared" si="8"/>
        <v>162.74046112946698</v>
      </c>
    </row>
    <row r="94" spans="1:18" x14ac:dyDescent="0.25">
      <c r="A94" s="28">
        <f>IF('E-Barrows'!A94&lt;'Adj-Barrows'!$B$10,'E-Barrows'!B94," ")</f>
        <v>68.507311152166523</v>
      </c>
      <c r="B94" s="26">
        <f>IF('E-Barrows'!A94&lt;'Adj-Barrows'!$B$10,'E-Barrows'!A94," ")</f>
        <v>112</v>
      </c>
      <c r="C94" s="26">
        <f>IF('E-Barrows'!A94&lt;'Adj-Barrows'!$B$10,'E-Barrows'!C94," ")</f>
        <v>1027.2620898630862</v>
      </c>
      <c r="D94" s="28">
        <f>IF('E-Barrows'!A94&lt;'Adj-Barrows'!$B$10,'E-Barrows'!G94," ")</f>
        <v>116.35604400161067</v>
      </c>
      <c r="E94" s="27">
        <f>IF('E-Barrows'!A94&lt;'Adj-Barrows'!$B$10,'E-Barrows'!D94," ")</f>
        <v>0.40842991279356078</v>
      </c>
      <c r="F94" s="27"/>
      <c r="G94" s="92">
        <f t="shared" si="5"/>
        <v>112</v>
      </c>
      <c r="H94" s="28">
        <f>IF('E-Barrows'!A94&lt;'Adj-Barrows'!$B$10,'E-Barrows'!I94," ")</f>
        <v>74.950269169446372</v>
      </c>
      <c r="I94" s="24">
        <f>IF('E-Barrows'!A94&lt;'Adj-Barrows'!$B$10,'E-Barrows'!A94," ")</f>
        <v>112</v>
      </c>
      <c r="J94" s="26">
        <f>IF('E-Barrows'!A94&lt;'Adj-Barrows'!$B$10,'E-Barrows'!J94," ")</f>
        <v>1132.4377108385704</v>
      </c>
      <c r="K94" s="28">
        <f>IF('E-Barrows'!A94&lt;'Adj-Barrows'!$B$10,'E-Barrows'!N94," ")</f>
        <v>144.47814073395782</v>
      </c>
      <c r="L94" s="27">
        <f>IF('E-Barrows'!A94&lt;'Adj-Barrows'!$B$10,'E-Barrows'!K94," ")</f>
        <v>0.36260802112476748</v>
      </c>
      <c r="M94" s="28">
        <f>IF('E-Barrows'!A94&lt;'Adj-Barrows'!$B$10,'E-Barrows'!M94," ")</f>
        <v>3.1230354676818282</v>
      </c>
      <c r="N94" s="30">
        <f>IF('E-Barrows'!A94&lt;'Adj-Barrows'!$B$10,1/L94," ")</f>
        <v>2.7577988950661307</v>
      </c>
      <c r="O94" s="19"/>
      <c r="P94" s="31">
        <f t="shared" si="6"/>
        <v>2.4965977951493548</v>
      </c>
      <c r="Q94" s="31">
        <f t="shared" si="7"/>
        <v>6.8851146408874291</v>
      </c>
      <c r="R94" s="31">
        <f t="shared" si="8"/>
        <v>165.23705892461632</v>
      </c>
    </row>
    <row r="95" spans="1:18" x14ac:dyDescent="0.25">
      <c r="A95" s="28">
        <f>IF('E-Barrows'!A95&lt;'Adj-Barrows'!$B$10,'E-Barrows'!B95," ")</f>
        <v>69.536625940295579</v>
      </c>
      <c r="B95" s="26">
        <f>IF('E-Barrows'!A95&lt;'Adj-Barrows'!$B$10,'E-Barrows'!A95," ")</f>
        <v>113</v>
      </c>
      <c r="C95" s="26">
        <f>IF('E-Barrows'!A95&lt;'Adj-Barrows'!$B$10,'E-Barrows'!C95," ")</f>
        <v>1029.3147881290565</v>
      </c>
      <c r="D95" s="28">
        <f>IF('E-Barrows'!A95&lt;'Adj-Barrows'!$B$10,'E-Barrows'!G95," ")</f>
        <v>118.89025352369836</v>
      </c>
      <c r="E95" s="27">
        <f>IF('E-Barrows'!A95&lt;'Adj-Barrows'!$B$10,'E-Barrows'!D95," ")</f>
        <v>0.40616799011989402</v>
      </c>
      <c r="F95" s="27"/>
      <c r="G95" s="92">
        <f t="shared" si="5"/>
        <v>113</v>
      </c>
      <c r="H95" s="28">
        <f>IF('E-Barrows'!A95&lt;'Adj-Barrows'!$B$10,'E-Barrows'!I95," ")</f>
        <v>76.084969742847761</v>
      </c>
      <c r="I95" s="24">
        <f>IF('E-Barrows'!A95&lt;'Adj-Barrows'!$B$10,'E-Barrows'!A95," ")</f>
        <v>113</v>
      </c>
      <c r="J95" s="26">
        <f>IF('E-Barrows'!A95&lt;'Adj-Barrows'!$B$10,'E-Barrows'!J95," ")</f>
        <v>1134.7005734013926</v>
      </c>
      <c r="K95" s="28">
        <f>IF('E-Barrows'!A95&lt;'Adj-Barrows'!$B$10,'E-Barrows'!N95," ")</f>
        <v>147.6248434525244</v>
      </c>
      <c r="L95" s="27">
        <f>IF('E-Barrows'!A95&lt;'Adj-Barrows'!$B$10,'E-Barrows'!K95," ")</f>
        <v>0.36059986432982161</v>
      </c>
      <c r="M95" s="28">
        <f>IF('E-Barrows'!A95&lt;'Adj-Barrows'!$B$10,'E-Barrows'!M95," ")</f>
        <v>3.1467027185665883</v>
      </c>
      <c r="N95" s="30">
        <f>IF('E-Barrows'!A95&lt;'Adj-Barrows'!$B$10,1/L95," ")</f>
        <v>2.7731568947162804</v>
      </c>
      <c r="O95" s="19"/>
      <c r="P95" s="31">
        <f t="shared" si="6"/>
        <v>2.5015865531454873</v>
      </c>
      <c r="Q95" s="31">
        <f t="shared" si="7"/>
        <v>6.9372919975849427</v>
      </c>
      <c r="R95" s="31">
        <f t="shared" si="8"/>
        <v>167.73864547776179</v>
      </c>
    </row>
    <row r="96" spans="1:18" x14ac:dyDescent="0.25">
      <c r="A96" s="28">
        <f>IF('E-Barrows'!A96&lt;'Adj-Barrows'!$B$10,'E-Barrows'!B96," ")</f>
        <v>70.567839534435805</v>
      </c>
      <c r="B96" s="26">
        <f>IF('E-Barrows'!A96&lt;'Adj-Barrows'!$B$10,'E-Barrows'!A96," ")</f>
        <v>114</v>
      </c>
      <c r="C96" s="26">
        <f>IF('E-Barrows'!A96&lt;'Adj-Barrows'!$B$10,'E-Barrows'!C96," ")</f>
        <v>1031.2135941402262</v>
      </c>
      <c r="D96" s="28">
        <f>IF('E-Barrows'!A96&lt;'Adj-Barrows'!$B$10,'E-Barrows'!G96," ")</f>
        <v>121.44300254221424</v>
      </c>
      <c r="E96" s="27">
        <f>IF('E-Barrows'!A96&lt;'Adj-Barrows'!$B$10,'E-Barrows'!D96," ")</f>
        <v>0.40396199808931904</v>
      </c>
      <c r="F96" s="27"/>
      <c r="G96" s="92">
        <f t="shared" si="5"/>
        <v>114</v>
      </c>
      <c r="H96" s="28">
        <f>IF('E-Barrows'!A96&lt;'Adj-Barrows'!$B$10,'E-Barrows'!I96," ")</f>
        <v>77.221763530389765</v>
      </c>
      <c r="I96" s="24">
        <f>IF('E-Barrows'!A96&lt;'Adj-Barrows'!$B$10,'E-Barrows'!A96," ")</f>
        <v>114</v>
      </c>
      <c r="J96" s="26">
        <f>IF('E-Barrows'!A96&lt;'Adj-Barrows'!$B$10,'E-Barrows'!J96," ")</f>
        <v>1136.7937875420041</v>
      </c>
      <c r="K96" s="28">
        <f>IF('E-Barrows'!A96&lt;'Adj-Barrows'!$B$10,'E-Barrows'!N96," ")</f>
        <v>150.79456647912116</v>
      </c>
      <c r="L96" s="27">
        <f>IF('E-Barrows'!A96&lt;'Adj-Barrows'!$B$10,'E-Barrows'!K96," ")</f>
        <v>0.3586413632999812</v>
      </c>
      <c r="M96" s="28">
        <f>IF('E-Barrows'!A96&lt;'Adj-Barrows'!$B$10,'E-Barrows'!M96," ")</f>
        <v>3.1697230265967589</v>
      </c>
      <c r="N96" s="30">
        <f>IF('E-Barrows'!A96&lt;'Adj-Barrows'!$B$10,1/L96," ")</f>
        <v>2.7883007994355693</v>
      </c>
      <c r="O96" s="19"/>
      <c r="P96" s="31">
        <f t="shared" si="6"/>
        <v>2.5062013003922532</v>
      </c>
      <c r="Q96" s="31">
        <f t="shared" si="7"/>
        <v>6.9880430894301835</v>
      </c>
      <c r="R96" s="31">
        <f t="shared" si="8"/>
        <v>170.24484677815406</v>
      </c>
    </row>
    <row r="97" spans="1:18" x14ac:dyDescent="0.25">
      <c r="A97" s="28">
        <f>IF('E-Barrows'!A97&lt;'Adj-Barrows'!$B$10,'E-Barrows'!B97," ")</f>
        <v>71.600799696449656</v>
      </c>
      <c r="B97" s="26">
        <f>IF('E-Barrows'!A97&lt;'Adj-Barrows'!$B$10,'E-Barrows'!A97," ")</f>
        <v>115</v>
      </c>
      <c r="C97" s="26">
        <f>IF('E-Barrows'!A97&lt;'Adj-Barrows'!$B$10,'E-Barrows'!C97," ")</f>
        <v>1032.9601620138505</v>
      </c>
      <c r="D97" s="28">
        <f>IF('E-Barrows'!A97&lt;'Adj-Barrows'!$B$10,'E-Barrows'!G97," ")</f>
        <v>124.01377606439908</v>
      </c>
      <c r="E97" s="27">
        <f>IF('E-Barrows'!A97&lt;'Adj-Barrows'!$B$10,'E-Barrows'!D97," ")</f>
        <v>0.40180908707040247</v>
      </c>
      <c r="F97" s="27"/>
      <c r="G97" s="92">
        <f t="shared" si="5"/>
        <v>115</v>
      </c>
      <c r="H97" s="28">
        <f>IF('E-Barrows'!A97&lt;'Adj-Barrows'!$B$10,'E-Barrows'!I97," ")</f>
        <v>78.360482707123239</v>
      </c>
      <c r="I97" s="24">
        <f>IF('E-Barrows'!A97&lt;'Adj-Barrows'!$B$10,'E-Barrows'!A97," ")</f>
        <v>115</v>
      </c>
      <c r="J97" s="26">
        <f>IF('E-Barrows'!A97&lt;'Adj-Barrows'!$B$10,'E-Barrows'!J97," ")</f>
        <v>1138.7191767334762</v>
      </c>
      <c r="K97" s="28">
        <f>IF('E-Barrows'!A97&lt;'Adj-Barrows'!$B$10,'E-Barrows'!N97," ")</f>
        <v>153.98667035236912</v>
      </c>
      <c r="L97" s="27">
        <f>IF('E-Barrows'!A97&lt;'Adj-Barrows'!$B$10,'E-Barrows'!K97," ")</f>
        <v>0.35672998810493856</v>
      </c>
      <c r="M97" s="28">
        <f>IF('E-Barrows'!A97&lt;'Adj-Barrows'!$B$10,'E-Barrows'!M97," ")</f>
        <v>3.1921038732479685</v>
      </c>
      <c r="N97" s="30">
        <f>IF('E-Barrows'!A97&lt;'Adj-Barrows'!$B$10,1/L97," ")</f>
        <v>2.8032406395445286</v>
      </c>
      <c r="O97" s="19"/>
      <c r="P97" s="31">
        <f t="shared" si="6"/>
        <v>2.5104460569596356</v>
      </c>
      <c r="Q97" s="31">
        <f t="shared" si="7"/>
        <v>7.0373844102535692</v>
      </c>
      <c r="R97" s="31">
        <f t="shared" si="8"/>
        <v>172.75529283511366</v>
      </c>
    </row>
    <row r="98" spans="1:18" x14ac:dyDescent="0.25">
      <c r="A98" s="28">
        <f>IF('E-Barrows'!A98&lt;'Adj-Barrows'!$B$10,'E-Barrows'!B98," ")</f>
        <v>72.63535588203689</v>
      </c>
      <c r="B98" s="26">
        <f>IF('E-Barrows'!A98&lt;'Adj-Barrows'!$B$10,'E-Barrows'!A98," ")</f>
        <v>116</v>
      </c>
      <c r="C98" s="26">
        <f>IF('E-Barrows'!A98&lt;'Adj-Barrows'!$B$10,'E-Barrows'!C98," ")</f>
        <v>1034.5561855872347</v>
      </c>
      <c r="D98" s="28">
        <f>IF('E-Barrows'!A98&lt;'Adj-Barrows'!$B$10,'E-Barrows'!G98," ")</f>
        <v>126.60206558280039</v>
      </c>
      <c r="E98" s="27">
        <f>IF('E-Barrows'!A98&lt;'Adj-Barrows'!$B$10,'E-Barrows'!D98," ")</f>
        <v>0.39970651591798884</v>
      </c>
      <c r="F98" s="27"/>
      <c r="G98" s="92">
        <f t="shared" si="5"/>
        <v>116</v>
      </c>
      <c r="H98" s="28">
        <f>IF('E-Barrows'!A98&lt;'Adj-Barrows'!$B$10,'E-Barrows'!I98," ")</f>
        <v>79.500961315358879</v>
      </c>
      <c r="I98" s="24">
        <f>IF('E-Barrows'!A98&lt;'Adj-Barrows'!$B$10,'E-Barrows'!A98," ")</f>
        <v>116</v>
      </c>
      <c r="J98" s="26">
        <f>IF('E-Barrows'!A98&lt;'Adj-Barrows'!$B$10,'E-Barrows'!J98," ")</f>
        <v>1140.4786082356436</v>
      </c>
      <c r="K98" s="28">
        <f>IF('E-Barrows'!A98&lt;'Adj-Barrows'!$B$10,'E-Barrows'!N98," ")</f>
        <v>157.20052366363015</v>
      </c>
      <c r="L98" s="27">
        <f>IF('E-Barrows'!A98&lt;'Adj-Barrows'!$B$10,'E-Barrows'!K98," ")</f>
        <v>0.35486330512955111</v>
      </c>
      <c r="M98" s="28">
        <f>IF('E-Barrows'!A98&lt;'Adj-Barrows'!$B$10,'E-Barrows'!M98," ")</f>
        <v>3.2138533112610368</v>
      </c>
      <c r="N98" s="30">
        <f>IF('E-Barrows'!A98&lt;'Adj-Barrows'!$B$10,1/L98," ")</f>
        <v>2.8179864909811587</v>
      </c>
      <c r="O98" s="19"/>
      <c r="P98" s="31">
        <f t="shared" si="6"/>
        <v>2.5143249394509075</v>
      </c>
      <c r="Q98" s="31">
        <f t="shared" si="7"/>
        <v>7.0853337133096765</v>
      </c>
      <c r="R98" s="31">
        <f t="shared" si="8"/>
        <v>175.26961777456461</v>
      </c>
    </row>
    <row r="99" spans="1:18" x14ac:dyDescent="0.25">
      <c r="A99" s="28">
        <f>IF('E-Barrows'!A99&lt;'Adj-Barrows'!$B$10,'E-Barrows'!B99," ")</f>
        <v>73.671359278368115</v>
      </c>
      <c r="B99" s="26">
        <f>IF('E-Barrows'!A99&lt;'Adj-Barrows'!$B$10,'E-Barrows'!A99," ")</f>
        <v>117</v>
      </c>
      <c r="C99" s="26">
        <f>IF('E-Barrows'!A99&lt;'Adj-Barrows'!$B$10,'E-Barrows'!C99," ")</f>
        <v>1036.0033963312248</v>
      </c>
      <c r="D99" s="28">
        <f>IF('E-Barrows'!A99&lt;'Adj-Barrows'!$B$10,'E-Barrows'!G99," ")</f>
        <v>129.20736949889678</v>
      </c>
      <c r="E99" s="27">
        <f>IF('E-Barrows'!A99&lt;'Adj-Barrows'!$B$10,'E-Barrows'!D99," ")</f>
        <v>0.39765164821289023</v>
      </c>
      <c r="F99" s="27"/>
      <c r="G99" s="92">
        <f t="shared" si="5"/>
        <v>117</v>
      </c>
      <c r="H99" s="28">
        <f>IF('E-Barrows'!A99&lt;'Adj-Barrows'!$B$10,'E-Barrows'!I99," ")</f>
        <v>80.643035306153848</v>
      </c>
      <c r="I99" s="24">
        <f>IF('E-Barrows'!A99&lt;'Adj-Barrows'!$B$10,'E-Barrows'!A99," ")</f>
        <v>117</v>
      </c>
      <c r="J99" s="26">
        <f>IF('E-Barrows'!A99&lt;'Adj-Barrows'!$B$10,'E-Barrows'!J99," ")</f>
        <v>1142.0739907949705</v>
      </c>
      <c r="K99" s="28">
        <f>IF('E-Barrows'!A99&lt;'Adj-Barrows'!$B$10,'E-Barrows'!N99," ")</f>
        <v>160.43550358301701</v>
      </c>
      <c r="L99" s="27">
        <f>IF('E-Barrows'!A99&lt;'Adj-Barrows'!$B$10,'E-Barrows'!K99," ")</f>
        <v>0.35303897373540172</v>
      </c>
      <c r="M99" s="28">
        <f>IF('E-Barrows'!A99&lt;'Adj-Barrows'!$B$10,'E-Barrows'!M99," ")</f>
        <v>3.2349799193868627</v>
      </c>
      <c r="N99" s="30">
        <f>IF('E-Barrows'!A99&lt;'Adj-Barrows'!$B$10,1/L99," ")</f>
        <v>2.8325484561075331</v>
      </c>
      <c r="O99" s="19"/>
      <c r="P99" s="31">
        <f t="shared" si="6"/>
        <v>2.5178421559317026</v>
      </c>
      <c r="Q99" s="31">
        <f t="shared" si="7"/>
        <v>7.1319099115068063</v>
      </c>
      <c r="R99" s="31">
        <f t="shared" si="8"/>
        <v>177.78745993049628</v>
      </c>
    </row>
    <row r="100" spans="1:18" x14ac:dyDescent="0.25">
      <c r="A100" s="28">
        <f>IF('E-Barrows'!A100&lt;'Adj-Barrows'!$B$10,'E-Barrows'!B100," ")</f>
        <v>74.708662839653115</v>
      </c>
      <c r="B100" s="26">
        <f>IF('E-Barrows'!A100&lt;'Adj-Barrows'!$B$10,'E-Barrows'!A100," ")</f>
        <v>118</v>
      </c>
      <c r="C100" s="26">
        <f>IF('E-Barrows'!A100&lt;'Adj-Barrows'!$B$10,'E-Barrows'!C100," ")</f>
        <v>1037.3035612850003</v>
      </c>
      <c r="D100" s="28">
        <f>IF('E-Barrows'!A100&lt;'Adj-Barrows'!$B$10,'E-Barrows'!G100," ")</f>
        <v>131.82919351099844</v>
      </c>
      <c r="E100" s="27">
        <f>IF('E-Barrows'!A100&lt;'Adj-Barrows'!$B$10,'E-Barrows'!D100," ")</f>
        <v>0.3956419486956716</v>
      </c>
      <c r="F100" s="27"/>
      <c r="G100" s="92">
        <f t="shared" si="5"/>
        <v>118</v>
      </c>
      <c r="H100" s="28">
        <f>IF('E-Barrows'!A100&lt;'Adj-Barrows'!$B$10,'E-Barrows'!I100," ")</f>
        <v>81.786542578521747</v>
      </c>
      <c r="I100" s="24">
        <f>IF('E-Barrows'!A100&lt;'Adj-Barrows'!$B$10,'E-Barrows'!A100," ")</f>
        <v>118</v>
      </c>
      <c r="J100" s="26">
        <f>IF('E-Barrows'!A100&lt;'Adj-Barrows'!$B$10,'E-Barrows'!J100," ")</f>
        <v>1143.5072723678963</v>
      </c>
      <c r="K100" s="28">
        <f>IF('E-Barrows'!A100&lt;'Adj-Barrows'!$B$10,'E-Barrows'!N100," ")</f>
        <v>163.69099634104552</v>
      </c>
      <c r="L100" s="27">
        <f>IF('E-Barrows'!A100&lt;'Adj-Barrows'!$B$10,'E-Barrows'!K100," ")</f>
        <v>0.3512547430946788</v>
      </c>
      <c r="M100" s="28">
        <f>IF('E-Barrows'!A100&lt;'Adj-Barrows'!$B$10,'E-Barrows'!M100," ")</f>
        <v>3.2554927580285233</v>
      </c>
      <c r="N100" s="30">
        <f>IF('E-Barrows'!A100&lt;'Adj-Barrows'!$B$10,1/L100," ")</f>
        <v>2.8469366454375691</v>
      </c>
      <c r="O100" s="19"/>
      <c r="P100" s="31">
        <f t="shared" si="6"/>
        <v>2.5210020009108538</v>
      </c>
      <c r="Q100" s="31">
        <f t="shared" si="7"/>
        <v>7.1771329796145453</v>
      </c>
      <c r="R100" s="31">
        <f t="shared" si="8"/>
        <v>180.30846193140715</v>
      </c>
    </row>
    <row r="101" spans="1:18" x14ac:dyDescent="0.25">
      <c r="A101" s="28">
        <f>IF('E-Barrows'!A101&lt;'Adj-Barrows'!$B$10,'E-Barrows'!B101," ")</f>
        <v>75.7471213206681</v>
      </c>
      <c r="B101" s="26">
        <f>IF('E-Barrows'!A101&lt;'Adj-Barrows'!$B$10,'E-Barrows'!A101," ")</f>
        <v>119</v>
      </c>
      <c r="C101" s="26">
        <f>IF('E-Barrows'!A101&lt;'Adj-Barrows'!$B$10,'E-Barrows'!C101," ")</f>
        <v>1038.4584810149845</v>
      </c>
      <c r="D101" s="28">
        <f>IF('E-Barrows'!A101&lt;'Adj-Barrows'!$B$10,'E-Barrows'!G101," ")</f>
        <v>134.46705096724133</v>
      </c>
      <c r="E101" s="27">
        <f>IF('E-Barrows'!A101&lt;'Adj-Barrows'!$B$10,'E-Barrows'!D101," ")</f>
        <v>0.3936749798808552</v>
      </c>
      <c r="F101" s="27"/>
      <c r="G101" s="92">
        <f t="shared" si="5"/>
        <v>119</v>
      </c>
      <c r="H101" s="28">
        <f>IF('E-Barrows'!A101&lt;'Adj-Barrows'!$B$10,'E-Barrows'!I101," ")</f>
        <v>82.931323016392525</v>
      </c>
      <c r="I101" s="24">
        <f>IF('E-Barrows'!A101&lt;'Adj-Barrows'!$B$10,'E-Barrows'!A101," ")</f>
        <v>119</v>
      </c>
      <c r="J101" s="26">
        <f>IF('E-Barrows'!A101&lt;'Adj-Barrows'!$B$10,'E-Barrows'!J101," ")</f>
        <v>1144.7804378707719</v>
      </c>
      <c r="K101" s="28">
        <f>IF('E-Barrows'!A101&lt;'Adj-Barrows'!$B$10,'E-Barrows'!N101," ")</f>
        <v>166.96639766694403</v>
      </c>
      <c r="L101" s="27">
        <f>IF('E-Barrows'!A101&lt;'Adj-Barrows'!$B$10,'E-Barrows'!K101," ")</f>
        <v>0.34950844918423446</v>
      </c>
      <c r="M101" s="28">
        <f>IF('E-Barrows'!A101&lt;'Adj-Barrows'!$B$10,'E-Barrows'!M101," ")</f>
        <v>3.2754013258985055</v>
      </c>
      <c r="N101" s="30">
        <f>IF('E-Barrows'!A101&lt;'Adj-Barrows'!$B$10,1/L101," ")</f>
        <v>2.86116116029251</v>
      </c>
      <c r="O101" s="19"/>
      <c r="P101" s="31">
        <f t="shared" si="6"/>
        <v>2.5238088503798508</v>
      </c>
      <c r="Q101" s="31">
        <f t="shared" si="7"/>
        <v>7.2210238587093194</v>
      </c>
      <c r="R101" s="31">
        <f t="shared" si="8"/>
        <v>182.832270781787</v>
      </c>
    </row>
    <row r="102" spans="1:18" x14ac:dyDescent="0.25">
      <c r="A102" s="28">
        <f>IF('E-Barrows'!A102&lt;'Adj-Barrows'!$B$10,'E-Barrows'!B102," ")</f>
        <v>76.786591308267006</v>
      </c>
      <c r="B102" s="26">
        <f>IF('E-Barrows'!A102&lt;'Adj-Barrows'!$B$10,'E-Barrows'!A102," ")</f>
        <v>120</v>
      </c>
      <c r="C102" s="26">
        <f>IF('E-Barrows'!A102&lt;'Adj-Barrows'!$B$10,'E-Barrows'!C102," ")</f>
        <v>1039.4699875989063</v>
      </c>
      <c r="D102" s="28">
        <f>IF('E-Barrows'!A102&lt;'Adj-Barrows'!$B$10,'E-Barrows'!G102," ")</f>
        <v>137.12046318457749</v>
      </c>
      <c r="E102" s="27">
        <f>IF('E-Barrows'!A102&lt;'Adj-Barrows'!$B$10,'E-Barrows'!D102," ")</f>
        <v>0.39174839883810786</v>
      </c>
      <c r="F102" s="27"/>
      <c r="G102" s="92">
        <f t="shared" si="5"/>
        <v>120</v>
      </c>
      <c r="H102" s="28">
        <f>IF('E-Barrows'!A102&lt;'Adj-Barrows'!$B$10,'E-Barrows'!I102," ")</f>
        <v>84.077218523350041</v>
      </c>
      <c r="I102" s="24">
        <f>IF('E-Barrows'!A102&lt;'Adj-Barrows'!$B$10,'E-Barrows'!A102," ")</f>
        <v>120</v>
      </c>
      <c r="J102" s="26">
        <f>IF('E-Barrows'!A102&lt;'Adj-Barrows'!$B$10,'E-Barrows'!J102," ")</f>
        <v>1145.89550695752</v>
      </c>
      <c r="K102" s="28">
        <f>IF('E-Barrows'!A102&lt;'Adj-Barrows'!$B$10,'E-Barrows'!N102," ")</f>
        <v>170.26111318474031</v>
      </c>
      <c r="L102" s="27">
        <f>IF('E-Barrows'!A102&lt;'Adj-Barrows'!$B$10,'E-Barrows'!K102," ")</f>
        <v>0.34779801192789128</v>
      </c>
      <c r="M102" s="28">
        <f>IF('E-Barrows'!A102&lt;'Adj-Barrows'!$B$10,'E-Barrows'!M102," ")</f>
        <v>3.2947155177962824</v>
      </c>
      <c r="N102" s="30">
        <f>IF('E-Barrows'!A102&lt;'Adj-Barrows'!$B$10,1/L102," ")</f>
        <v>2.8752320763907337</v>
      </c>
      <c r="O102" s="19"/>
      <c r="P102" s="31">
        <f t="shared" si="6"/>
        <v>2.5262671569134199</v>
      </c>
      <c r="Q102" s="31">
        <f t="shared" si="7"/>
        <v>7.263604363089887</v>
      </c>
      <c r="R102" s="31">
        <f t="shared" si="8"/>
        <v>185.35853793870041</v>
      </c>
    </row>
    <row r="103" spans="1:18" x14ac:dyDescent="0.25">
      <c r="A103" s="28">
        <f>IF('E-Barrows'!A103&lt;'Adj-Barrows'!$B$10,'E-Barrows'!B103," ")</f>
        <v>77.826931250904209</v>
      </c>
      <c r="B103" s="26">
        <f>IF('E-Barrows'!A103&lt;'Adj-Barrows'!$B$10,'E-Barrows'!A103," ")</f>
        <v>121</v>
      </c>
      <c r="C103" s="26">
        <f>IF('E-Barrows'!A103&lt;'Adj-Barrows'!$B$10,'E-Barrows'!C103," ")</f>
        <v>1040.3399426372034</v>
      </c>
      <c r="D103" s="28">
        <f>IF('E-Barrows'!A103&lt;'Adj-Barrows'!$B$10,'E-Barrows'!G103," ")</f>
        <v>139.78895973473837</v>
      </c>
      <c r="E103" s="27">
        <f>IF('E-Barrows'!A103&lt;'Adj-Barrows'!$B$10,'E-Barrows'!D103," ")</f>
        <v>0.38985995412828406</v>
      </c>
      <c r="F103" s="27"/>
      <c r="G103" s="92">
        <f t="shared" si="5"/>
        <v>121</v>
      </c>
      <c r="H103" s="28">
        <f>IF('E-Barrows'!A103&lt;'Adj-Barrows'!$B$10,'E-Barrows'!I103," ")</f>
        <v>85.224073055177485</v>
      </c>
      <c r="I103" s="24">
        <f>IF('E-Barrows'!A103&lt;'Adj-Barrows'!$B$10,'E-Barrows'!A103," ")</f>
        <v>121</v>
      </c>
      <c r="J103" s="26">
        <f>IF('E-Barrows'!A103&lt;'Adj-Barrows'!$B$10,'E-Barrows'!J103," ")</f>
        <v>1146.8545318274371</v>
      </c>
      <c r="K103" s="28">
        <f>IF('E-Barrows'!A103&lt;'Adj-Barrows'!$B$10,'E-Barrows'!N103," ")</f>
        <v>173.57455876833961</v>
      </c>
      <c r="L103" s="27">
        <f>IF('E-Barrows'!A103&lt;'Adj-Barrows'!$B$10,'E-Barrows'!K103," ")</f>
        <v>0.34612143247623184</v>
      </c>
      <c r="M103" s="28">
        <f>IF('E-Barrows'!A103&lt;'Adj-Barrows'!$B$10,'E-Barrows'!M103," ")</f>
        <v>3.3134455835993095</v>
      </c>
      <c r="N103" s="30">
        <f>IF('E-Barrows'!A103&lt;'Adj-Barrows'!$B$10,1/L103," ")</f>
        <v>2.8891594283710531</v>
      </c>
      <c r="O103" s="19"/>
      <c r="P103" s="31">
        <f t="shared" si="6"/>
        <v>2.5283814448365547</v>
      </c>
      <c r="Q103" s="31">
        <f t="shared" si="7"/>
        <v>7.3048970898679562</v>
      </c>
      <c r="R103" s="31">
        <f t="shared" si="8"/>
        <v>187.88691938353699</v>
      </c>
    </row>
    <row r="104" spans="1:18" x14ac:dyDescent="0.25">
      <c r="A104" s="28">
        <f>IF('E-Barrows'!A104&lt;'Adj-Barrows'!$B$10,'E-Barrows'!B104," ")</f>
        <v>78.868001486196817</v>
      </c>
      <c r="B104" s="26">
        <f>IF('E-Barrows'!A104&lt;'Adj-Barrows'!$B$10,'E-Barrows'!A104," ")</f>
        <v>122</v>
      </c>
      <c r="C104" s="26">
        <f>IF('E-Barrows'!A104&lt;'Adj-Barrows'!$B$10,'E-Barrows'!C104," ")</f>
        <v>1041.070235292608</v>
      </c>
      <c r="D104" s="28">
        <f>IF('E-Barrows'!A104&lt;'Adj-Barrows'!$B$10,'E-Barrows'!G104," ")</f>
        <v>142.47207869821412</v>
      </c>
      <c r="E104" s="27">
        <f>IF('E-Barrows'!A104&lt;'Adj-Barrows'!$B$10,'E-Barrows'!D104," ")</f>
        <v>0.38800748288253012</v>
      </c>
      <c r="F104" s="27"/>
      <c r="G104" s="92">
        <f t="shared" si="5"/>
        <v>122</v>
      </c>
      <c r="H104" s="28">
        <f>IF('E-Barrows'!A104&lt;'Adj-Barrows'!$B$10,'E-Barrows'!I104," ")</f>
        <v>86.371732650241555</v>
      </c>
      <c r="I104" s="24">
        <f>IF('E-Barrows'!A104&lt;'Adj-Barrows'!$B$10,'E-Barrows'!A104," ")</f>
        <v>122</v>
      </c>
      <c r="J104" s="26">
        <f>IF('E-Barrows'!A104&lt;'Adj-Barrows'!$B$10,'E-Barrows'!J104," ")</f>
        <v>1147.6595950640633</v>
      </c>
      <c r="K104" s="28">
        <f>IF('E-Barrows'!A104&lt;'Adj-Barrows'!$B$10,'E-Barrows'!N104," ")</f>
        <v>176.90616085688805</v>
      </c>
      <c r="L104" s="27">
        <f>IF('E-Barrows'!A104&lt;'Adj-Barrows'!$B$10,'E-Barrows'!K104," ")</f>
        <v>0.3444767906133992</v>
      </c>
      <c r="M104" s="28">
        <f>IF('E-Barrows'!A104&lt;'Adj-Barrows'!$B$10,'E-Barrows'!M104," ")</f>
        <v>3.3316020885484368</v>
      </c>
      <c r="N104" s="30">
        <f>IF('E-Barrows'!A104&lt;'Adj-Barrows'!$B$10,1/L104," ")</f>
        <v>2.902953195248164</v>
      </c>
      <c r="O104" s="19"/>
      <c r="P104" s="31">
        <f t="shared" si="6"/>
        <v>2.5301563054600393</v>
      </c>
      <c r="Q104" s="31">
        <f t="shared" si="7"/>
        <v>7.3449253314125116</v>
      </c>
      <c r="R104" s="31">
        <f t="shared" si="8"/>
        <v>190.41707568899704</v>
      </c>
    </row>
    <row r="105" spans="1:18" x14ac:dyDescent="0.25">
      <c r="A105" s="28">
        <f>IF('E-Barrows'!A105&lt;'Adj-Barrows'!$B$10,'E-Barrows'!B105," ")</f>
        <v>79.909664266557044</v>
      </c>
      <c r="B105" s="26">
        <f>IF('E-Barrows'!A105&lt;'Adj-Barrows'!$B$10,'E-Barrows'!A105," ")</f>
        <v>123</v>
      </c>
      <c r="C105" s="26">
        <f>IF('E-Barrows'!A105&lt;'Adj-Barrows'!$B$10,'E-Barrows'!C105," ")</f>
        <v>1041.6627803602269</v>
      </c>
      <c r="D105" s="28">
        <f>IF('E-Barrows'!A105&lt;'Adj-Barrows'!$B$10,'E-Barrows'!G105," ")</f>
        <v>145.16936688734683</v>
      </c>
      <c r="E105" s="27">
        <f>IF('E-Barrows'!A105&lt;'Adj-Barrows'!$B$10,'E-Barrows'!D105," ")</f>
        <v>0.38618890801400291</v>
      </c>
      <c r="F105" s="27"/>
      <c r="G105" s="92">
        <f t="shared" si="5"/>
        <v>123</v>
      </c>
      <c r="H105" s="28">
        <f>IF('E-Barrows'!A105&lt;'Adj-Barrows'!$B$10,'E-Barrows'!I105," ")</f>
        <v>87.52004545774922</v>
      </c>
      <c r="I105" s="24">
        <f>IF('E-Barrows'!A105&lt;'Adj-Barrows'!$B$10,'E-Barrows'!A105," ")</f>
        <v>123</v>
      </c>
      <c r="J105" s="26">
        <f>IF('E-Barrows'!A105&lt;'Adj-Barrows'!$B$10,'E-Barrows'!J105," ")</f>
        <v>1148.3128075076688</v>
      </c>
      <c r="K105" s="28">
        <f>IF('E-Barrows'!A105&lt;'Adj-Barrows'!$B$10,'E-Barrows'!N105," ")</f>
        <v>180.2553567317853</v>
      </c>
      <c r="L105" s="27">
        <f>IF('E-Barrows'!A105&lt;'Adj-Barrows'!$B$10,'E-Barrows'!K105," ")</f>
        <v>0.34286224228163392</v>
      </c>
      <c r="M105" s="28">
        <f>IF('E-Barrows'!A105&lt;'Adj-Barrows'!$B$10,'E-Barrows'!M105," ")</f>
        <v>3.349195874897247</v>
      </c>
      <c r="N105" s="30">
        <f>IF('E-Barrows'!A105&lt;'Adj-Barrows'!$B$10,1/L105," ")</f>
        <v>2.9166232867910256</v>
      </c>
      <c r="O105" s="19"/>
      <c r="P105" s="31">
        <f t="shared" si="6"/>
        <v>2.5315963923900853</v>
      </c>
      <c r="Q105" s="31">
        <f t="shared" si="7"/>
        <v>7.3837129908010732</v>
      </c>
      <c r="R105" s="31">
        <f t="shared" si="8"/>
        <v>192.94867208138712</v>
      </c>
    </row>
    <row r="106" spans="1:18" x14ac:dyDescent="0.25">
      <c r="A106" s="28">
        <f>IF('E-Barrows'!A106&lt;'Adj-Barrows'!$B$10,'E-Barrows'!B106," ")</f>
        <v>80.951783782925432</v>
      </c>
      <c r="B106" s="26">
        <f>IF('E-Barrows'!A106&lt;'Adj-Barrows'!$B$10,'E-Barrows'!A106," ")</f>
        <v>124</v>
      </c>
      <c r="C106" s="26">
        <f>IF('E-Barrows'!A106&lt;'Adj-Barrows'!$B$10,'E-Barrows'!C106," ")</f>
        <v>1042.1195163683876</v>
      </c>
      <c r="D106" s="28">
        <f>IF('E-Barrows'!A106&lt;'Adj-Barrows'!$B$10,'E-Barrows'!G106," ")</f>
        <v>147.88038003968336</v>
      </c>
      <c r="E106" s="27">
        <f>IF('E-Barrows'!A106&lt;'Adj-Barrows'!$B$10,'E-Barrows'!D106," ")</f>
        <v>0.38440223555175879</v>
      </c>
      <c r="F106" s="27"/>
      <c r="G106" s="92">
        <f t="shared" si="5"/>
        <v>124</v>
      </c>
      <c r="H106" s="28">
        <f>IF('E-Barrows'!A106&lt;'Adj-Barrows'!$B$10,'E-Barrows'!I106," ")</f>
        <v>88.668861763910883</v>
      </c>
      <c r="I106" s="24">
        <f>IF('E-Barrows'!A106&lt;'Adj-Barrows'!$B$10,'E-Barrows'!A106," ")</f>
        <v>124</v>
      </c>
      <c r="J106" s="26">
        <f>IF('E-Barrows'!A106&lt;'Adj-Barrows'!$B$10,'E-Barrows'!J106," ")</f>
        <v>1148.8163061616572</v>
      </c>
      <c r="K106" s="28">
        <f>IF('E-Barrows'!A106&lt;'Adj-Barrows'!$B$10,'E-Barrows'!N106," ")</f>
        <v>183.62159475676893</v>
      </c>
      <c r="L106" s="27">
        <f>IF('E-Barrows'!A106&lt;'Adj-Barrows'!$B$10,'E-Barrows'!K106," ")</f>
        <v>0.34127601721427475</v>
      </c>
      <c r="M106" s="28">
        <f>IF('E-Barrows'!A106&lt;'Adj-Barrows'!$B$10,'E-Barrows'!M106," ")</f>
        <v>3.3662380249836232</v>
      </c>
      <c r="N106" s="30">
        <f>IF('E-Barrows'!A106&lt;'Adj-Barrows'!$B$10,1/L106," ")</f>
        <v>2.9301795308169472</v>
      </c>
      <c r="O106" s="19"/>
      <c r="P106" s="31">
        <f t="shared" si="6"/>
        <v>2.5327064169127387</v>
      </c>
      <c r="Q106" s="31">
        <f t="shared" si="7"/>
        <v>7.4212845004064407</v>
      </c>
      <c r="R106" s="31">
        <f t="shared" si="8"/>
        <v>195.48137849829988</v>
      </c>
    </row>
    <row r="107" spans="1:18" x14ac:dyDescent="0.25">
      <c r="A107" s="28">
        <f>IF('E-Barrows'!A107&lt;'Adj-Barrows'!$B$10,'E-Barrows'!B107," ")</f>
        <v>81.994226186637817</v>
      </c>
      <c r="B107" s="26">
        <f>IF('E-Barrows'!A107&lt;'Adj-Barrows'!$B$10,'E-Barrows'!A107," ")</f>
        <v>125</v>
      </c>
      <c r="C107" s="26">
        <f>IF('E-Barrows'!A107&lt;'Adj-Barrows'!$B$10,'E-Barrows'!C107," ")</f>
        <v>1042.4424037123856</v>
      </c>
      <c r="D107" s="28">
        <f>IF('E-Barrows'!A107&lt;'Adj-Barrows'!$B$10,'E-Barrows'!G107," ")</f>
        <v>150.60468298277164</v>
      </c>
      <c r="E107" s="27">
        <f>IF('E-Barrows'!A107&lt;'Adj-Barrows'!$B$10,'E-Barrows'!D107," ")</f>
        <v>0.38264555208778317</v>
      </c>
      <c r="F107" s="27"/>
      <c r="G107" s="92">
        <f t="shared" si="5"/>
        <v>125</v>
      </c>
      <c r="H107" s="28">
        <f>IF('E-Barrows'!A107&lt;'Adj-Barrows'!$B$10,'E-Barrows'!I107," ")</f>
        <v>89.818034016046113</v>
      </c>
      <c r="I107" s="24">
        <f>IF('E-Barrows'!A107&lt;'Adj-Barrows'!$B$10,'E-Barrows'!A107," ")</f>
        <v>125</v>
      </c>
      <c r="J107" s="26">
        <f>IF('E-Barrows'!A107&lt;'Adj-Barrows'!$B$10,'E-Barrows'!J107," ")</f>
        <v>1149.1722521352349</v>
      </c>
      <c r="K107" s="28">
        <f>IF('E-Barrows'!A107&lt;'Adj-Barrows'!$B$10,'E-Barrows'!N107," ")</f>
        <v>187.0043345825402</v>
      </c>
      <c r="L107" s="27">
        <f>IF('E-Barrows'!A107&lt;'Adj-Barrows'!$B$10,'E-Barrows'!K107," ")</f>
        <v>0.33971641666920704</v>
      </c>
      <c r="M107" s="28">
        <f>IF('E-Barrows'!A107&lt;'Adj-Barrows'!$B$10,'E-Barrows'!M107," ")</f>
        <v>3.382739825771274</v>
      </c>
      <c r="N107" s="30">
        <f>IF('E-Barrows'!A107&lt;'Adj-Barrows'!$B$10,1/L107," ")</f>
        <v>2.9436316613857745</v>
      </c>
      <c r="O107" s="19"/>
      <c r="P107" s="31">
        <f t="shared" si="6"/>
        <v>2.5334911434582441</v>
      </c>
      <c r="Q107" s="31">
        <f t="shared" si="7"/>
        <v>7.4576647437241368</v>
      </c>
      <c r="R107" s="31">
        <f t="shared" si="8"/>
        <v>198.01486964175811</v>
      </c>
    </row>
    <row r="108" spans="1:18" x14ac:dyDescent="0.25">
      <c r="A108" s="28">
        <f>IF('E-Barrows'!A108&lt;'Adj-Barrows'!$B$10,'E-Barrows'!B108," ")</f>
        <v>83.036859609459768</v>
      </c>
      <c r="B108" s="26">
        <f>IF('E-Barrows'!A108&lt;'Adj-Barrows'!$B$10,'E-Barrows'!A108," ")</f>
        <v>126</v>
      </c>
      <c r="C108" s="26">
        <f>IF('E-Barrows'!A108&lt;'Adj-Barrows'!$B$10,'E-Barrows'!C108," ")</f>
        <v>1042.6334228219503</v>
      </c>
      <c r="D108" s="28">
        <f>IF('E-Barrows'!A108&lt;'Adj-Barrows'!$B$10,'E-Barrows'!G108," ")</f>
        <v>153.34184977161419</v>
      </c>
      <c r="E108" s="27">
        <f>IF('E-Barrows'!A108&lt;'Adj-Barrows'!$B$10,'E-Barrows'!D108," ")</f>
        <v>0.38091702232834562</v>
      </c>
      <c r="F108" s="27"/>
      <c r="G108" s="92">
        <f t="shared" si="5"/>
        <v>126</v>
      </c>
      <c r="H108" s="28">
        <f>IF('E-Barrows'!A108&lt;'Adj-Barrows'!$B$10,'E-Barrows'!I108," ")</f>
        <v>90.967416844669373</v>
      </c>
      <c r="I108" s="24">
        <f>IF('E-Barrows'!A108&lt;'Adj-Barrows'!$B$10,'E-Barrows'!A108," ")</f>
        <v>126</v>
      </c>
      <c r="J108" s="26">
        <f>IF('E-Barrows'!A108&lt;'Adj-Barrows'!$B$10,'E-Barrows'!J108," ")</f>
        <v>1149.3828286232572</v>
      </c>
      <c r="K108" s="28">
        <f>IF('E-Barrows'!A108&lt;'Adj-Barrows'!$B$10,'E-Barrows'!N108," ")</f>
        <v>190.40304731743893</v>
      </c>
      <c r="L108" s="27">
        <f>IF('E-Barrows'!A108&lt;'Adj-Barrows'!$B$10,'E-Barrows'!K108," ")</f>
        <v>0.33818181125493191</v>
      </c>
      <c r="M108" s="28">
        <f>IF('E-Barrows'!A108&lt;'Adj-Barrows'!$B$10,'E-Barrows'!M108," ")</f>
        <v>3.3987127348987345</v>
      </c>
      <c r="N108" s="30">
        <f>IF('E-Barrows'!A108&lt;'Adj-Barrows'!$B$10,1/L108," ")</f>
        <v>2.9569893078790361</v>
      </c>
      <c r="O108" s="19"/>
      <c r="P108" s="31">
        <f t="shared" si="6"/>
        <v>2.5339553851473675</v>
      </c>
      <c r="Q108" s="31">
        <f t="shared" si="7"/>
        <v>7.4928789805232707</v>
      </c>
      <c r="R108" s="31">
        <f t="shared" si="8"/>
        <v>200.54882502690546</v>
      </c>
    </row>
    <row r="109" spans="1:18" x14ac:dyDescent="0.25">
      <c r="A109" s="28">
        <f>IF('E-Barrows'!A109&lt;'Adj-Barrows'!$B$10,'E-Barrows'!B109," ")</f>
        <v>84.079554181822729</v>
      </c>
      <c r="B109" s="26">
        <f>IF('E-Barrows'!A109&lt;'Adj-Barrows'!$B$10,'E-Barrows'!A109," ")</f>
        <v>127</v>
      </c>
      <c r="C109" s="26">
        <f>IF('E-Barrows'!A109&lt;'Adj-Barrows'!$B$10,'E-Barrows'!C109," ")</f>
        <v>1042.6945723629615</v>
      </c>
      <c r="D109" s="28">
        <f>IF('E-Barrows'!A109&lt;'Adj-Barrows'!$B$10,'E-Barrows'!G109," ")</f>
        <v>156.09146380001593</v>
      </c>
      <c r="E109" s="27">
        <f>IF('E-Barrows'!A109&lt;'Adj-Barrows'!$B$10,'E-Barrows'!D109," ")</f>
        <v>0.37921488674141041</v>
      </c>
      <c r="F109" s="27"/>
      <c r="G109" s="92">
        <f t="shared" si="5"/>
        <v>127</v>
      </c>
      <c r="H109" s="28">
        <f>IF('E-Barrows'!A109&lt;'Adj-Barrows'!$B$10,'E-Barrows'!I109," ")</f>
        <v>92.116867083593206</v>
      </c>
      <c r="I109" s="24">
        <f>IF('E-Barrows'!A109&lt;'Adj-Barrows'!$B$10,'E-Barrows'!A109," ")</f>
        <v>127</v>
      </c>
      <c r="J109" s="26">
        <f>IF('E-Barrows'!A109&lt;'Adj-Barrows'!$B$10,'E-Barrows'!J109," ")</f>
        <v>1149.4502389238269</v>
      </c>
      <c r="K109" s="28">
        <f>IF('E-Barrows'!A109&lt;'Adj-Barrows'!$B$10,'E-Barrows'!N109," ")</f>
        <v>193.81721566570275</v>
      </c>
      <c r="L109" s="27">
        <f>IF('E-Barrows'!A109&lt;'Adj-Barrows'!$B$10,'E-Barrows'!K109," ")</f>
        <v>0.33667063884191478</v>
      </c>
      <c r="M109" s="28">
        <f>IF('E-Barrows'!A109&lt;'Adj-Barrows'!$B$10,'E-Barrows'!M109," ")</f>
        <v>3.4141683482638245</v>
      </c>
      <c r="N109" s="30">
        <f>IF('E-Barrows'!A109&lt;'Adj-Barrows'!$B$10,1/L109," ")</f>
        <v>2.9702619849471179</v>
      </c>
      <c r="O109" s="19"/>
      <c r="P109" s="31">
        <f t="shared" si="6"/>
        <v>2.5341039994209487</v>
      </c>
      <c r="Q109" s="31">
        <f t="shared" si="7"/>
        <v>7.5269527753824965</v>
      </c>
      <c r="R109" s="31">
        <f t="shared" si="8"/>
        <v>203.08292902632644</v>
      </c>
    </row>
    <row r="110" spans="1:18" x14ac:dyDescent="0.25">
      <c r="A110" s="28">
        <f>IF('E-Barrows'!A110&lt;'Adj-Barrows'!$B$10,'E-Barrows'!B110," ")</f>
        <v>85.122182049298431</v>
      </c>
      <c r="B110" s="26">
        <f>IF('E-Barrows'!A110&lt;'Adj-Barrows'!$B$10,'E-Barrows'!A110," ")</f>
        <v>128</v>
      </c>
      <c r="C110" s="26">
        <f>IF('E-Barrows'!A110&lt;'Adj-Barrows'!$B$10,'E-Barrows'!C110," ")</f>
        <v>1042.6278674757014</v>
      </c>
      <c r="D110" s="28">
        <f>IF('E-Barrows'!A110&lt;'Adj-Barrows'!$B$10,'E-Barrows'!G110," ")</f>
        <v>158.85311788707756</v>
      </c>
      <c r="E110" s="27">
        <f>IF('E-Barrows'!A110&lt;'Adj-Barrows'!$B$10,'E-Barrows'!D110," ")</f>
        <v>0.37753745929311877</v>
      </c>
      <c r="F110" s="27"/>
      <c r="G110" s="92">
        <f t="shared" si="5"/>
        <v>128</v>
      </c>
      <c r="H110" s="28">
        <f>IF('E-Barrows'!A110&lt;'Adj-Barrows'!$B$10,'E-Barrows'!I110," ")</f>
        <v>93.266243788089383</v>
      </c>
      <c r="I110" s="24">
        <f>IF('E-Barrows'!A110&lt;'Adj-Barrows'!$B$10,'E-Barrows'!A110," ")</f>
        <v>128</v>
      </c>
      <c r="J110" s="26">
        <f>IF('E-Barrows'!A110&lt;'Adj-Barrows'!$B$10,'E-Barrows'!J110," ")</f>
        <v>1149.376704496171</v>
      </c>
      <c r="K110" s="28">
        <f>IF('E-Barrows'!A110&lt;'Adj-Barrows'!$B$10,'E-Barrows'!N110," ")</f>
        <v>197.24633403486521</v>
      </c>
      <c r="L110" s="27">
        <f>IF('E-Barrows'!A110&lt;'Adj-Barrows'!$B$10,'E-Barrows'!K110," ")</f>
        <v>0.33518140255301243</v>
      </c>
      <c r="M110" s="28">
        <f>IF('E-Barrows'!A110&lt;'Adj-Barrows'!$B$10,'E-Barrows'!M110," ")</f>
        <v>3.4291183691624569</v>
      </c>
      <c r="N110" s="30">
        <f>IF('E-Barrows'!A110&lt;'Adj-Barrows'!$B$10,1/L110," ")</f>
        <v>2.9834590832999441</v>
      </c>
      <c r="O110" s="19"/>
      <c r="P110" s="31">
        <f t="shared" si="6"/>
        <v>2.5339418837582541</v>
      </c>
      <c r="Q110" s="31">
        <f t="shared" si="7"/>
        <v>7.559911929652734</v>
      </c>
      <c r="R110" s="31">
        <f t="shared" si="8"/>
        <v>205.61687091008471</v>
      </c>
    </row>
    <row r="111" spans="1:18" x14ac:dyDescent="0.25">
      <c r="A111" s="28">
        <f>IF('E-Barrows'!A111&lt;'Adj-Barrows'!$B$10,'E-Barrows'!B111," ")</f>
        <v>86.164617387347249</v>
      </c>
      <c r="B111" s="26">
        <f>IF('E-Barrows'!A111&lt;'Adj-Barrows'!$B$10,'E-Barrows'!A111," ")</f>
        <v>129</v>
      </c>
      <c r="C111" s="26">
        <f>IF('E-Barrows'!A111&lt;'Adj-Barrows'!$B$10,'E-Barrows'!C111," ")</f>
        <v>1042.4353380488185</v>
      </c>
      <c r="D111" s="28">
        <f>IF('E-Barrows'!A111&lt;'Adj-Barrows'!$B$10,'E-Barrows'!G111," ")</f>
        <v>161.6264143400951</v>
      </c>
      <c r="E111" s="27">
        <f>IF('E-Barrows'!A111&lt;'Adj-Barrows'!$B$10,'E-Barrows'!D111," ")</f>
        <v>0.37588312526580914</v>
      </c>
      <c r="F111" s="27"/>
      <c r="G111" s="92">
        <f t="shared" si="5"/>
        <v>129</v>
      </c>
      <c r="H111" s="28">
        <f>IF('E-Barrows'!A111&lt;'Adj-Barrows'!$B$10,'E-Barrows'!I111," ")</f>
        <v>94.415408251147269</v>
      </c>
      <c r="I111" s="24">
        <f>IF('E-Barrows'!A111&lt;'Adj-Barrows'!$B$10,'E-Barrows'!A111," ")</f>
        <v>129</v>
      </c>
      <c r="J111" s="26">
        <f>IF('E-Barrows'!A111&lt;'Adj-Barrows'!$B$10,'E-Barrows'!J111," ")</f>
        <v>1149.164463057886</v>
      </c>
      <c r="K111" s="28">
        <f>IF('E-Barrows'!A111&lt;'Adj-Barrows'!$B$10,'E-Barrows'!N111," ")</f>
        <v>200.68990861385751</v>
      </c>
      <c r="L111" s="27">
        <f>IF('E-Barrows'!A111&lt;'Adj-Barrows'!$B$10,'E-Barrows'!K111," ")</f>
        <v>0.33371266882629019</v>
      </c>
      <c r="M111" s="28">
        <f>IF('E-Barrows'!A111&lt;'Adj-Barrows'!$B$10,'E-Barrows'!M111," ")</f>
        <v>3.4435745789922905</v>
      </c>
      <c r="N111" s="30">
        <f>IF('E-Barrows'!A111&lt;'Adj-Barrows'!$B$10,1/L111," ")</f>
        <v>2.9965898613232964</v>
      </c>
      <c r="O111" s="19"/>
      <c r="P111" s="31">
        <f t="shared" si="6"/>
        <v>2.5334739714821173</v>
      </c>
      <c r="Q111" s="31">
        <f t="shared" si="7"/>
        <v>7.5917824168697772</v>
      </c>
      <c r="R111" s="31">
        <f t="shared" si="8"/>
        <v>208.15034488156684</v>
      </c>
    </row>
    <row r="112" spans="1:18" x14ac:dyDescent="0.25">
      <c r="A112" s="28">
        <f>IF('E-Barrows'!A112&lt;'Adj-Barrows'!$B$10,'E-Barrows'!B112," ")</f>
        <v>87.206736414378739</v>
      </c>
      <c r="B112" s="26">
        <f>IF('E-Barrows'!A112&lt;'Adj-Barrows'!$B$10,'E-Barrows'!A112," ")</f>
        <v>130</v>
      </c>
      <c r="C112" s="26">
        <f>IF('E-Barrows'!A112&lt;'Adj-Barrows'!$B$10,'E-Barrows'!C112," ")</f>
        <v>1042.1190270314896</v>
      </c>
      <c r="D112" s="28">
        <f>IF('E-Barrows'!A112&lt;'Adj-Barrows'!$B$10,'E-Barrows'!G112," ")</f>
        <v>164.41096499512793</v>
      </c>
      <c r="E112" s="27">
        <f>IF('E-Barrows'!A112&lt;'Adj-Barrows'!$B$10,'E-Barrows'!D112," ")</f>
        <v>0.37425033915183153</v>
      </c>
      <c r="F112" s="27"/>
      <c r="G112" s="92">
        <f t="shared" si="5"/>
        <v>130</v>
      </c>
      <c r="H112" s="28">
        <f>IF('E-Barrows'!A112&lt;'Adj-Barrows'!$B$10,'E-Barrows'!I112," ")</f>
        <v>95.564224017871567</v>
      </c>
      <c r="I112" s="24">
        <f>IF('E-Barrows'!A112&lt;'Adj-Barrows'!$B$10,'E-Barrows'!A112," ")</f>
        <v>130</v>
      </c>
      <c r="J112" s="26">
        <f>IF('E-Barrows'!A112&lt;'Adj-Barrows'!$B$10,'E-Barrows'!J112," ")</f>
        <v>1148.8157667242904</v>
      </c>
      <c r="K112" s="28">
        <f>IF('E-Barrows'!A112&lt;'Adj-Barrows'!$B$10,'E-Barrows'!N112," ")</f>
        <v>204.1474574233813</v>
      </c>
      <c r="L112" s="27">
        <f>IF('E-Barrows'!A112&lt;'Adj-Barrows'!$B$10,'E-Barrows'!K112," ")</f>
        <v>0.33226306554513024</v>
      </c>
      <c r="M112" s="28">
        <f>IF('E-Barrows'!A112&lt;'Adj-Barrows'!$B$10,'E-Barrows'!M112," ")</f>
        <v>3.4575488095237912</v>
      </c>
      <c r="N112" s="30">
        <f>IF('E-Barrows'!A112&lt;'Adj-Barrows'!$B$10,1/L112," ")</f>
        <v>3.0096634374914388</v>
      </c>
      <c r="O112" s="19"/>
      <c r="P112" s="31">
        <f t="shared" si="6"/>
        <v>2.5327052276569164</v>
      </c>
      <c r="Q112" s="31">
        <f t="shared" si="7"/>
        <v>7.6225903216224538</v>
      </c>
      <c r="R112" s="31">
        <f t="shared" si="8"/>
        <v>210.68305010922376</v>
      </c>
    </row>
    <row r="113" spans="1:18" x14ac:dyDescent="0.25">
      <c r="A113" s="28">
        <f>IF('E-Barrows'!A113&lt;'Adj-Barrows'!$B$10,'E-Barrows'!B113," ")</f>
        <v>88.248417403161639</v>
      </c>
      <c r="B113" s="26">
        <f>IF('E-Barrows'!A113&lt;'Adj-Barrows'!$B$10,'E-Barrows'!A113," ")</f>
        <v>131</v>
      </c>
      <c r="C113" s="26">
        <f>IF('E-Barrows'!A113&lt;'Adj-Barrows'!$B$10,'E-Barrows'!C113," ")</f>
        <v>1041.6809887829004</v>
      </c>
      <c r="D113" s="28">
        <f>IF('E-Barrows'!A113&lt;'Adj-Barrows'!$B$10,'E-Barrows'!G113," ")</f>
        <v>167.20639123649357</v>
      </c>
      <c r="E113" s="27">
        <f>IF('E-Barrows'!A113&lt;'Adj-Barrows'!$B$10,'E-Barrows'!D113," ")</f>
        <v>0.37263762261672262</v>
      </c>
      <c r="F113" s="27"/>
      <c r="G113" s="92">
        <f t="shared" si="5"/>
        <v>131</v>
      </c>
      <c r="H113" s="28">
        <f>IF('E-Barrows'!A113&lt;'Adj-Barrows'!$B$10,'E-Barrows'!I113," ")</f>
        <v>96.712556898060484</v>
      </c>
      <c r="I113" s="24">
        <f>IF('E-Barrows'!A113&lt;'Adj-Barrows'!$B$10,'E-Barrows'!A113," ")</f>
        <v>131</v>
      </c>
      <c r="J113" s="26">
        <f>IF('E-Barrows'!A113&lt;'Adj-Barrows'!$B$10,'E-Barrows'!J113," ")</f>
        <v>1148.3328801889193</v>
      </c>
      <c r="K113" s="28">
        <f>IF('E-Barrows'!A113&lt;'Adj-Barrows'!$B$10,'E-Barrows'!N113," ")</f>
        <v>207.61851034011534</v>
      </c>
      <c r="L113" s="27">
        <f>IF('E-Barrows'!A113&lt;'Adj-Barrows'!$B$10,'E-Barrows'!K113," ")</f>
        <v>0.33083128022991853</v>
      </c>
      <c r="M113" s="28">
        <f>IF('E-Barrows'!A113&lt;'Adj-Barrows'!$B$10,'E-Barrows'!M113," ")</f>
        <v>3.471052916734052</v>
      </c>
      <c r="N113" s="30">
        <f>IF('E-Barrows'!A113&lt;'Adj-Barrows'!$B$10,1/L113," ")</f>
        <v>3.0226887835546501</v>
      </c>
      <c r="O113" s="19"/>
      <c r="P113" s="31">
        <f t="shared" si="6"/>
        <v>2.5316406450772511</v>
      </c>
      <c r="Q113" s="31">
        <f t="shared" si="7"/>
        <v>7.6523617818660661</v>
      </c>
      <c r="R113" s="31">
        <f t="shared" si="8"/>
        <v>213.21469075430099</v>
      </c>
    </row>
    <row r="114" spans="1:18" x14ac:dyDescent="0.25">
      <c r="A114" s="28">
        <f>IF('E-Barrows'!A114&lt;'Adj-Barrows'!$B$10,'E-Barrows'!B114," ")</f>
        <v>89.289540690623028</v>
      </c>
      <c r="B114" s="26">
        <f>IF('E-Barrows'!A114&lt;'Adj-Barrows'!$B$10,'E-Barrows'!A114," ")</f>
        <v>132</v>
      </c>
      <c r="C114" s="26">
        <f>IF('E-Barrows'!A114&lt;'Adj-Barrows'!$B$10,'E-Barrows'!C114," ")</f>
        <v>1041.1232874613888</v>
      </c>
      <c r="D114" s="28">
        <f>IF('E-Barrows'!A114&lt;'Adj-Barrows'!$B$10,'E-Barrows'!G114," ")</f>
        <v>170.01232399643908</v>
      </c>
      <c r="E114" s="27">
        <f>IF('E-Barrows'!A114&lt;'Adj-Barrows'!$B$10,'E-Barrows'!D114," ")</f>
        <v>0.37104356252699622</v>
      </c>
      <c r="F114" s="27"/>
      <c r="G114" s="92">
        <f t="shared" si="5"/>
        <v>132</v>
      </c>
      <c r="H114" s="28">
        <f>IF('E-Barrows'!A114&lt;'Adj-Barrows'!$B$10,'E-Barrows'!I114," ")</f>
        <v>97.860274977008217</v>
      </c>
      <c r="I114" s="24">
        <f>IF('E-Barrows'!A114&lt;'Adj-Barrows'!$B$10,'E-Barrows'!A114," ")</f>
        <v>132</v>
      </c>
      <c r="J114" s="26">
        <f>IF('E-Barrows'!A114&lt;'Adj-Barrows'!$B$10,'E-Barrows'!J114," ")</f>
        <v>1147.71807894774</v>
      </c>
      <c r="K114" s="28">
        <f>IF('E-Barrows'!A114&lt;'Adj-Barrows'!$B$10,'E-Barrows'!N114," ")</f>
        <v>211.1026090963073</v>
      </c>
      <c r="L114" s="27">
        <f>IF('E-Barrows'!A114&lt;'Adj-Barrows'!$B$10,'E-Barrows'!K114," ")</f>
        <v>0.32941605828709813</v>
      </c>
      <c r="M114" s="28">
        <f>IF('E-Barrows'!A114&lt;'Adj-Barrows'!$B$10,'E-Barrows'!M114," ")</f>
        <v>3.4840987561919694</v>
      </c>
      <c r="N114" s="30">
        <f>IF('E-Barrows'!A114&lt;'Adj-Barrows'!$B$10,1/L114," ")</f>
        <v>3.0356747184694424</v>
      </c>
      <c r="O114" s="19"/>
      <c r="P114" s="31">
        <f t="shared" si="6"/>
        <v>2.5302852403530065</v>
      </c>
      <c r="Q114" s="31">
        <f t="shared" si="7"/>
        <v>7.6811229346559982</v>
      </c>
      <c r="R114" s="31">
        <f t="shared" si="8"/>
        <v>215.744975994654</v>
      </c>
    </row>
    <row r="115" spans="1:18" x14ac:dyDescent="0.25">
      <c r="A115" s="28">
        <f>IF('E-Barrows'!A115&lt;'Adj-Barrows'!$B$10,'E-Barrows'!B115," ")</f>
        <v>90.329988686074898</v>
      </c>
      <c r="B115" s="26">
        <f>IF('E-Barrows'!A115&lt;'Adj-Barrows'!$B$10,'E-Barrows'!A115," ")</f>
        <v>133</v>
      </c>
      <c r="C115" s="26">
        <f>IF('E-Barrows'!A115&lt;'Adj-Barrows'!$B$10,'E-Barrows'!C115," ")</f>
        <v>1040.4479954518706</v>
      </c>
      <c r="D115" s="28">
        <f>IF('E-Barrows'!A115&lt;'Adj-Barrows'!$B$10,'E-Barrows'!G115," ")</f>
        <v>172.82840373622383</v>
      </c>
      <c r="E115" s="27">
        <f>IF('E-Barrows'!A115&lt;'Adj-Barrows'!$B$10,'E-Barrows'!D115," ")</f>
        <v>0.36946680903694584</v>
      </c>
      <c r="F115" s="27"/>
      <c r="G115" s="92">
        <f t="shared" si="5"/>
        <v>133</v>
      </c>
      <c r="H115" s="28">
        <f>IF('E-Barrows'!A115&lt;'Adj-Barrows'!$B$10,'E-Barrows'!I115," ")</f>
        <v>99.007248624573791</v>
      </c>
      <c r="I115" s="24">
        <f>IF('E-Barrows'!A115&lt;'Adj-Barrows'!$B$10,'E-Barrows'!A115," ")</f>
        <v>133</v>
      </c>
      <c r="J115" s="26">
        <f>IF('E-Barrows'!A115&lt;'Adj-Barrows'!$B$10,'E-Barrows'!J115," ")</f>
        <v>1146.9736475655714</v>
      </c>
      <c r="K115" s="28">
        <f>IF('E-Barrows'!A115&lt;'Adj-Barrows'!$B$10,'E-Barrows'!N115," ")</f>
        <v>214.59930725628462</v>
      </c>
      <c r="L115" s="27">
        <f>IF('E-Barrows'!A115&lt;'Adj-Barrows'!$B$10,'E-Barrows'!K115," ")</f>
        <v>0.32801620131061432</v>
      </c>
      <c r="M115" s="28">
        <f>IF('E-Barrows'!A115&lt;'Adj-Barrows'!$B$10,'E-Barrows'!M115," ")</f>
        <v>3.4966981599773082</v>
      </c>
      <c r="N115" s="30">
        <f>IF('E-Barrows'!A115&lt;'Adj-Barrows'!$B$10,1/L115," ")</f>
        <v>3.048629903048758</v>
      </c>
      <c r="O115" s="19"/>
      <c r="P115" s="31">
        <f t="shared" si="6"/>
        <v>2.5286440500874634</v>
      </c>
      <c r="Q115" s="31">
        <f t="shared" si="7"/>
        <v>7.7088998652629632</v>
      </c>
      <c r="R115" s="31">
        <f t="shared" si="8"/>
        <v>218.27362004474145</v>
      </c>
    </row>
    <row r="116" spans="1:18" x14ac:dyDescent="0.25">
      <c r="A116" s="28">
        <f>IF('E-Barrows'!A116&lt;'Adj-Barrows'!$B$10,'E-Barrows'!B116," ")</f>
        <v>91.369645877908781</v>
      </c>
      <c r="B116" s="26">
        <f>IF('E-Barrows'!A116&lt;'Adj-Barrows'!$B$10,'E-Barrows'!A116," ")</f>
        <v>134</v>
      </c>
      <c r="C116" s="26">
        <f>IF('E-Barrows'!A116&lt;'Adj-Barrows'!$B$10,'E-Barrows'!C116," ")</f>
        <v>1039.6571918338823</v>
      </c>
      <c r="D116" s="28">
        <f>IF('E-Barrows'!A116&lt;'Adj-Barrows'!$B$10,'E-Barrows'!G116," ")</f>
        <v>175.65428040983107</v>
      </c>
      <c r="E116" s="27">
        <f>IF('E-Barrows'!A116&lt;'Adj-Barrows'!$B$10,'E-Barrows'!D116," ")</f>
        <v>0.36790607373065615</v>
      </c>
      <c r="F116" s="27"/>
      <c r="G116" s="92">
        <f t="shared" si="5"/>
        <v>134</v>
      </c>
      <c r="H116" s="28">
        <f>IF('E-Barrows'!A116&lt;'Adj-Barrows'!$B$10,'E-Barrows'!I116," ")</f>
        <v>100.15335050256107</v>
      </c>
      <c r="I116" s="24">
        <f>IF('E-Barrows'!A116&lt;'Adj-Barrows'!$B$10,'E-Barrows'!A116," ")</f>
        <v>134</v>
      </c>
      <c r="J116" s="26">
        <f>IF('E-Barrows'!A116&lt;'Adj-Barrows'!$B$10,'E-Barrows'!J116," ")</f>
        <v>1146.101877987277</v>
      </c>
      <c r="K116" s="28">
        <f>IF('E-Barrows'!A116&lt;'Adj-Barrows'!$B$10,'E-Barrows'!N116," ")</f>
        <v>218.10817017139524</v>
      </c>
      <c r="L116" s="27">
        <f>IF('E-Barrows'!A116&lt;'Adj-Barrows'!$B$10,'E-Barrows'!K116," ")</f>
        <v>0.32663056543237418</v>
      </c>
      <c r="M116" s="28">
        <f>IF('E-Barrows'!A116&lt;'Adj-Barrows'!$B$10,'E-Barrows'!M116," ")</f>
        <v>3.5088629151106394</v>
      </c>
      <c r="N116" s="30">
        <f>IF('E-Barrows'!A116&lt;'Adj-Barrows'!$B$10,1/L116," ")</f>
        <v>3.061562835297607</v>
      </c>
      <c r="O116" s="19"/>
      <c r="P116" s="31">
        <f t="shared" si="6"/>
        <v>2.5267221271541165</v>
      </c>
      <c r="Q116" s="31">
        <f t="shared" si="7"/>
        <v>7.7357185596191558</v>
      </c>
      <c r="R116" s="31">
        <f t="shared" si="8"/>
        <v>220.80034217189558</v>
      </c>
    </row>
    <row r="117" spans="1:18" x14ac:dyDescent="0.25">
      <c r="A117" s="28">
        <f>IF('E-Barrows'!A117&lt;'Adj-Barrows'!$B$10,'E-Barrows'!B117," ")</f>
        <v>92.408398838798334</v>
      </c>
      <c r="B117" s="26">
        <f>IF('E-Barrows'!A117&lt;'Adj-Barrows'!$B$10,'E-Barrows'!A117," ")</f>
        <v>135</v>
      </c>
      <c r="C117" s="26">
        <f>IF('E-Barrows'!A117&lt;'Adj-Barrows'!$B$10,'E-Barrows'!C117," ")</f>
        <v>1038.7529608895534</v>
      </c>
      <c r="D117" s="28">
        <f>IF('E-Barrows'!A117&lt;'Adj-Barrows'!$B$10,'E-Barrows'!G117," ")</f>
        <v>178.48961341150189</v>
      </c>
      <c r="E117" s="27">
        <f>IF('E-Barrows'!A117&lt;'Adj-Barrows'!$B$10,'E-Barrows'!D117," ")</f>
        <v>0.36636012781476801</v>
      </c>
      <c r="F117" s="27"/>
      <c r="G117" s="92">
        <f t="shared" si="5"/>
        <v>135</v>
      </c>
      <c r="H117" s="28">
        <f>IF('E-Barrows'!A117&lt;'Adj-Barrows'!$B$10,'E-Barrows'!I117," ")</f>
        <v>101.29845557045405</v>
      </c>
      <c r="I117" s="24">
        <f>IF('E-Barrows'!A117&lt;'Adj-Barrows'!$B$10,'E-Barrows'!A117," ")</f>
        <v>135</v>
      </c>
      <c r="J117" s="26">
        <f>IF('E-Barrows'!A117&lt;'Adj-Barrows'!$B$10,'E-Barrows'!J117," ")</f>
        <v>1145.1050678929789</v>
      </c>
      <c r="K117" s="28">
        <f>IF('E-Barrows'!A117&lt;'Adj-Barrows'!$B$10,'E-Barrows'!N117," ")</f>
        <v>221.62877491486145</v>
      </c>
      <c r="L117" s="27">
        <f>IF('E-Barrows'!A117&lt;'Adj-Barrows'!$B$10,'E-Barrows'!K117," ")</f>
        <v>0.32525805971776589</v>
      </c>
      <c r="M117" s="28">
        <f>IF('E-Barrows'!A117&lt;'Adj-Barrows'!$B$10,'E-Barrows'!M117," ")</f>
        <v>3.5206047434661989</v>
      </c>
      <c r="N117" s="30">
        <f>IF('E-Barrows'!A117&lt;'Adj-Barrows'!$B$10,1/L117," ")</f>
        <v>3.0744818464075068</v>
      </c>
      <c r="O117" s="19"/>
      <c r="P117" s="31">
        <f t="shared" si="6"/>
        <v>2.5245245370705396</v>
      </c>
      <c r="Q117" s="31">
        <f t="shared" si="7"/>
        <v>7.761604860033688</v>
      </c>
      <c r="R117" s="31">
        <f t="shared" si="8"/>
        <v>223.32486670896614</v>
      </c>
    </row>
    <row r="118" spans="1:18" x14ac:dyDescent="0.25">
      <c r="A118" s="28">
        <f>IF('E-Barrows'!A118&lt;'Adj-Barrows'!$B$10,'E-Barrows'!B118," ")</f>
        <v>93.44613622944992</v>
      </c>
      <c r="B118" s="26">
        <f>IF('E-Barrows'!A118&lt;'Adj-Barrows'!$B$10,'E-Barrows'!A118," ")</f>
        <v>136</v>
      </c>
      <c r="C118" s="26">
        <f>IF('E-Barrows'!A118&lt;'Adj-Barrows'!$B$10,'E-Barrows'!C118," ")</f>
        <v>1037.7373906515857</v>
      </c>
      <c r="D118" s="28">
        <f>IF('E-Barrows'!A118&lt;'Adj-Barrows'!$B$10,'E-Barrows'!G118," ")</f>
        <v>181.33407150826039</v>
      </c>
      <c r="E118" s="27">
        <f>IF('E-Barrows'!A118&lt;'Adj-Barrows'!$B$10,'E-Barrows'!D118," ")</f>
        <v>0.36482780035823709</v>
      </c>
      <c r="F118" s="27"/>
      <c r="G118" s="92">
        <f t="shared" si="5"/>
        <v>136</v>
      </c>
      <c r="H118" s="28">
        <f>IF('E-Barrows'!A118&lt;'Adj-Barrows'!$B$10,'E-Barrows'!I118," ")</f>
        <v>102.44244108955142</v>
      </c>
      <c r="I118" s="24">
        <f>IF('E-Barrows'!A118&lt;'Adj-Barrows'!$B$10,'E-Barrows'!A118," ")</f>
        <v>136</v>
      </c>
      <c r="J118" s="26">
        <f>IF('E-Barrows'!A118&lt;'Adj-Barrows'!$B$10,'E-Barrows'!J118," ")</f>
        <v>1143.985519097371</v>
      </c>
      <c r="K118" s="28">
        <f>IF('E-Barrows'!A118&lt;'Adj-Barrows'!$B$10,'E-Barrows'!N118," ")</f>
        <v>225.16071019799665</v>
      </c>
      <c r="L118" s="27">
        <f>IF('E-Barrows'!A118&lt;'Adj-Barrows'!$B$10,'E-Barrows'!K118," ")</f>
        <v>0.32389764460289977</v>
      </c>
      <c r="M118" s="28">
        <f>IF('E-Barrows'!A118&lt;'Adj-Barrows'!$B$10,'E-Barrows'!M118," ")</f>
        <v>3.531935283135212</v>
      </c>
      <c r="N118" s="30">
        <f>IF('E-Barrows'!A118&lt;'Adj-Barrows'!$B$10,1/L118," ")</f>
        <v>3.0873950973802398</v>
      </c>
      <c r="O118" s="19"/>
      <c r="P118" s="31">
        <f t="shared" si="6"/>
        <v>2.5220563544694787</v>
      </c>
      <c r="Q118" s="31">
        <f t="shared" si="7"/>
        <v>7.7865844241057491</v>
      </c>
      <c r="R118" s="31">
        <f t="shared" si="8"/>
        <v>225.84692306343561</v>
      </c>
    </row>
    <row r="119" spans="1:18" x14ac:dyDescent="0.25">
      <c r="A119" s="28">
        <f>IF('E-Barrows'!A119&lt;'Adj-Barrows'!$B$10,'E-Barrows'!B119," ")</f>
        <v>94.482748800942773</v>
      </c>
      <c r="B119" s="26">
        <f>IF('E-Barrows'!A119&lt;'Adj-Barrows'!$B$10,'E-Barrows'!A119," ")</f>
        <v>137</v>
      </c>
      <c r="C119" s="26">
        <f>IF('E-Barrows'!A119&lt;'Adj-Barrows'!$B$10,'E-Barrows'!C119," ")</f>
        <v>1036.612571492853</v>
      </c>
      <c r="D119" s="28">
        <f>IF('E-Barrows'!A119&lt;'Adj-Barrows'!$B$10,'E-Barrows'!G119," ")</f>
        <v>184.18733275856849</v>
      </c>
      <c r="E119" s="27">
        <f>IF('E-Barrows'!A119&lt;'Adj-Barrows'!$B$10,'E-Barrows'!D119," ")</f>
        <v>0.36330797657625075</v>
      </c>
      <c r="F119" s="27"/>
      <c r="G119" s="92">
        <f t="shared" si="5"/>
        <v>137</v>
      </c>
      <c r="H119" s="28">
        <f>IF('E-Barrows'!A119&lt;'Adj-Barrows'!$B$10,'E-Barrows'!I119," ")</f>
        <v>103.58518662554634</v>
      </c>
      <c r="I119" s="24">
        <f>IF('E-Barrows'!A119&lt;'Adj-Barrows'!$B$10,'E-Barrows'!A119," ")</f>
        <v>137</v>
      </c>
      <c r="J119" s="26">
        <f>IF('E-Barrows'!A119&lt;'Adj-Barrows'!$B$10,'E-Barrows'!J119," ")</f>
        <v>1142.7455359949163</v>
      </c>
      <c r="K119" s="28">
        <f>IF('E-Barrows'!A119&lt;'Adj-Barrows'!$B$10,'E-Barrows'!N119," ")</f>
        <v>228.70357626920008</v>
      </c>
      <c r="L119" s="27">
        <f>IF('E-Barrows'!A119&lt;'Adj-Barrows'!$B$10,'E-Barrows'!K119," ")</f>
        <v>0.32254833037105263</v>
      </c>
      <c r="M119" s="28">
        <f>IF('E-Barrows'!A119&lt;'Adj-Barrows'!$B$10,'E-Barrows'!M119," ")</f>
        <v>3.5428660712034272</v>
      </c>
      <c r="N119" s="30">
        <f>IF('E-Barrows'!A119&lt;'Adj-Barrows'!$B$10,1/L119," ")</f>
        <v>3.1003105762464238</v>
      </c>
      <c r="O119" s="19"/>
      <c r="P119" s="31">
        <f t="shared" si="6"/>
        <v>2.5193226596710967</v>
      </c>
      <c r="Q119" s="31">
        <f t="shared" si="7"/>
        <v>7.8106826867555714</v>
      </c>
      <c r="R119" s="31">
        <f t="shared" si="8"/>
        <v>228.36624572310672</v>
      </c>
    </row>
    <row r="120" spans="1:18" x14ac:dyDescent="0.25">
      <c r="A120" s="28">
        <f>IF('E-Barrows'!A120&lt;'Adj-Barrows'!$B$10,'E-Barrows'!B120," ")</f>
        <v>95.51812939569912</v>
      </c>
      <c r="B120" s="26">
        <f>IF('E-Barrows'!A120&lt;'Adj-Barrows'!$B$10,'E-Barrows'!A120," ")</f>
        <v>138</v>
      </c>
      <c r="C120" s="26">
        <f>IF('E-Barrows'!A120&lt;'Adj-Barrows'!$B$10,'E-Barrows'!C120," ")</f>
        <v>1035.3805947563474</v>
      </c>
      <c r="D120" s="28">
        <f>IF('E-Barrows'!A120&lt;'Adj-Barrows'!$B$10,'E-Barrows'!G120," ")</f>
        <v>187.04908441821746</v>
      </c>
      <c r="E120" s="27">
        <f>IF('E-Barrows'!A120&lt;'Adj-Barrows'!$B$10,'E-Barrows'!D120," ")</f>
        <v>0.36179959615480878</v>
      </c>
      <c r="F120" s="27"/>
      <c r="G120" s="92">
        <f t="shared" si="5"/>
        <v>138</v>
      </c>
      <c r="H120" s="28">
        <f>IF('E-Barrows'!A120&lt;'Adj-Barrows'!$B$10,'E-Barrows'!I120," ")</f>
        <v>104.72657404959587</v>
      </c>
      <c r="I120" s="24">
        <f>IF('E-Barrows'!A120&lt;'Adj-Barrows'!$B$10,'E-Barrows'!A120," ")</f>
        <v>138</v>
      </c>
      <c r="J120" s="26">
        <f>IF('E-Barrows'!A120&lt;'Adj-Barrows'!$B$10,'E-Barrows'!J120," ")</f>
        <v>1141.3874240495209</v>
      </c>
      <c r="K120" s="28">
        <f>IF('E-Barrows'!A120&lt;'Adj-Barrows'!$B$10,'E-Barrows'!N120," ")</f>
        <v>232.25698479710326</v>
      </c>
      <c r="L120" s="27">
        <f>IF('E-Barrows'!A120&lt;'Adj-Barrows'!$B$10,'E-Barrows'!K120," ")</f>
        <v>0.32120917566521484</v>
      </c>
      <c r="M120" s="28">
        <f>IF('E-Barrows'!A120&lt;'Adj-Barrows'!$B$10,'E-Barrows'!M120," ")</f>
        <v>3.5534085279031666</v>
      </c>
      <c r="N120" s="30">
        <f>IF('E-Barrows'!A120&lt;'Adj-Barrows'!$B$10,1/L120," ")</f>
        <v>3.1132360958525833</v>
      </c>
      <c r="P120" s="31">
        <f t="shared" si="6"/>
        <v>2.5163285353532752</v>
      </c>
      <c r="Q120" s="31">
        <f t="shared" si="7"/>
        <v>7.8339248252856777</v>
      </c>
      <c r="R120" s="31">
        <f t="shared" si="8"/>
        <v>230.88257425846001</v>
      </c>
    </row>
    <row r="121" spans="1:18" x14ac:dyDescent="0.25">
      <c r="A121" s="28">
        <f>IF('E-Barrows'!A121&lt;'Adj-Barrows'!$B$10,'E-Barrows'!B121," ")</f>
        <v>96.552172947125541</v>
      </c>
      <c r="B121" s="26">
        <f>IF('E-Barrows'!A121&lt;'Adj-Barrows'!$B$10,'E-Barrows'!A121," ")</f>
        <v>139</v>
      </c>
      <c r="C121" s="26">
        <f>IF('E-Barrows'!A121&lt;'Adj-Barrows'!$B$10,'E-Barrows'!C121," ")</f>
        <v>1034.0435514264213</v>
      </c>
      <c r="D121" s="28">
        <f>IF('E-Barrows'!A121&lt;'Adj-Barrows'!$B$10,'E-Barrows'!G121," ")</f>
        <v>189.9190228345291</v>
      </c>
      <c r="E121" s="27">
        <f>IF('E-Barrows'!A121&lt;'Adj-Barrows'!$B$10,'E-Barrows'!D121," ")</f>
        <v>0.36030165161360622</v>
      </c>
      <c r="F121" s="27"/>
      <c r="G121" s="92">
        <f t="shared" si="5"/>
        <v>139</v>
      </c>
      <c r="H121" s="28">
        <f>IF('E-Barrows'!A121&lt;'Adj-Barrows'!$B$10,'E-Barrows'!I121," ")</f>
        <v>105.86648753792561</v>
      </c>
      <c r="I121" s="24">
        <f>IF('E-Barrows'!A121&lt;'Adj-Barrows'!$B$10,'E-Barrows'!A121," ")</f>
        <v>139</v>
      </c>
      <c r="J121" s="26">
        <f>IF('E-Barrows'!A121&lt;'Adj-Barrows'!$B$10,'E-Barrows'!J121," ")</f>
        <v>1139.9134883297329</v>
      </c>
      <c r="K121" s="28">
        <f>IF('E-Barrows'!A121&lt;'Adj-Barrows'!$B$10,'E-Barrows'!N121," ")</f>
        <v>235.82055873920055</v>
      </c>
      <c r="L121" s="27">
        <f>IF('E-Barrows'!A121&lt;'Adj-Barrows'!$B$10,'E-Barrows'!K121," ")</f>
        <v>0.31987928603464155</v>
      </c>
      <c r="M121" s="28">
        <f>IF('E-Barrows'!A121&lt;'Adj-Barrows'!$B$10,'E-Barrows'!M121," ")</f>
        <v>3.5635739420972858</v>
      </c>
      <c r="N121" s="30">
        <f>IF('E-Barrows'!A121&lt;'Adj-Barrows'!$B$10,1/L121," ")</f>
        <v>3.1261792921836906</v>
      </c>
      <c r="P121" s="31">
        <f t="shared" si="6"/>
        <v>2.5130790633222797</v>
      </c>
      <c r="Q121" s="31">
        <f t="shared" si="7"/>
        <v>7.8563357273784948</v>
      </c>
      <c r="R121" s="31">
        <f t="shared" si="8"/>
        <v>233.39565332178231</v>
      </c>
    </row>
    <row r="122" spans="1:18" x14ac:dyDescent="0.25">
      <c r="A122" s="28">
        <f>IF('E-Barrows'!A122&lt;'Adj-Barrows'!$B$10,'E-Barrows'!B122," ")</f>
        <v>97.584776477966813</v>
      </c>
      <c r="B122" s="26">
        <f>IF('E-Barrows'!A122&lt;'Adj-Barrows'!$B$10,'E-Barrows'!A122," ")</f>
        <v>140</v>
      </c>
      <c r="C122" s="26">
        <f>IF('E-Barrows'!A122&lt;'Adj-Barrows'!$B$10,'E-Barrows'!C122," ")</f>
        <v>1032.6035308412713</v>
      </c>
      <c r="D122" s="28">
        <f>IF('E-Barrows'!A122&lt;'Adj-Barrows'!$B$10,'E-Barrows'!G122," ")</f>
        <v>192.79685332990266</v>
      </c>
      <c r="E122" s="27">
        <f>IF('E-Barrows'!A122&lt;'Adj-Barrows'!$B$10,'E-Barrows'!D122," ")</f>
        <v>0.3588131867048126</v>
      </c>
      <c r="F122" s="27"/>
      <c r="G122" s="92">
        <f t="shared" si="5"/>
        <v>140</v>
      </c>
      <c r="H122" s="28">
        <f>IF('E-Barrows'!A122&lt;'Adj-Barrows'!$B$10,'E-Barrows'!I122," ")</f>
        <v>107.00481357001502</v>
      </c>
      <c r="I122" s="24">
        <f>IF('E-Barrows'!A122&lt;'Adj-Barrows'!$B$10,'E-Barrows'!A122," ")</f>
        <v>140</v>
      </c>
      <c r="J122" s="26">
        <f>IF('E-Barrows'!A122&lt;'Adj-Barrows'!$B$10,'E-Barrows'!J122," ")</f>
        <v>1138.3260320894028</v>
      </c>
      <c r="K122" s="28">
        <f>IF('E-Barrows'!A122&lt;'Adj-Barrows'!$B$10,'E-Barrows'!N122," ")</f>
        <v>239.39393219725056</v>
      </c>
      <c r="L122" s="27">
        <f>IF('E-Barrows'!A122&lt;'Adj-Barrows'!$B$10,'E-Barrows'!K122," ")</f>
        <v>0.31855781251327359</v>
      </c>
      <c r="M122" s="28">
        <f>IF('E-Barrows'!A122&lt;'Adj-Barrows'!$B$10,'E-Barrows'!M122," ")</f>
        <v>3.5733734580500092</v>
      </c>
      <c r="N122" s="30">
        <f>IF('E-Barrows'!A122&lt;'Adj-Barrows'!$B$10,1/L122," ")</f>
        <v>3.1391476231911035</v>
      </c>
      <c r="P122" s="31">
        <f t="shared" si="6"/>
        <v>2.509579321383653</v>
      </c>
      <c r="Q122" s="31">
        <f t="shared" si="7"/>
        <v>7.8779399619310366</v>
      </c>
      <c r="R122" s="31">
        <f t="shared" si="8"/>
        <v>235.90523264316596</v>
      </c>
    </row>
    <row r="123" spans="1:18" x14ac:dyDescent="0.25">
      <c r="A123" s="28">
        <f>IF('E-Barrows'!A123&lt;'Adj-Barrows'!$B$10,'E-Barrows'!B123," ")</f>
        <v>98.615839097413129</v>
      </c>
      <c r="B123" s="26">
        <f>IF('E-Barrows'!A123&lt;'Adj-Barrows'!$B$10,'E-Barrows'!A123," ")</f>
        <v>141</v>
      </c>
      <c r="C123" s="26">
        <f>IF('E-Barrows'!A123&lt;'Adj-Barrows'!$B$10,'E-Barrows'!C123," ")</f>
        <v>1031.0626194463168</v>
      </c>
      <c r="D123" s="28">
        <f>IF('E-Barrows'!A123&lt;'Adj-Barrows'!$B$10,'E-Barrows'!G123," ")</f>
        <v>195.68229007570602</v>
      </c>
      <c r="E123" s="27">
        <f>IF('E-Barrows'!A123&lt;'Adj-Barrows'!$B$10,'E-Barrows'!D123," ")</f>
        <v>0.35733329484554377</v>
      </c>
      <c r="F123" s="27"/>
      <c r="G123" s="92">
        <f t="shared" si="5"/>
        <v>141</v>
      </c>
      <c r="H123" s="28">
        <f>IF('E-Barrows'!A123&lt;'Adj-Barrows'!$B$10,'E-Barrows'!I123," ")</f>
        <v>108.14144092540845</v>
      </c>
      <c r="I123" s="24">
        <f>IF('E-Barrows'!A123&lt;'Adj-Barrows'!$B$10,'E-Barrows'!A123," ")</f>
        <v>141</v>
      </c>
      <c r="J123" s="26">
        <f>IF('E-Barrows'!A123&lt;'Adj-Barrows'!$B$10,'E-Barrows'!J123," ")</f>
        <v>1136.6273553934293</v>
      </c>
      <c r="K123" s="28">
        <f>IF('E-Barrows'!A123&lt;'Adj-Barrows'!$B$10,'E-Barrows'!N123," ")</f>
        <v>242.97675026068816</v>
      </c>
      <c r="L123" s="27">
        <f>IF('E-Barrows'!A123&lt;'Adj-Barrows'!$B$10,'E-Barrows'!K123," ")</f>
        <v>0.31724395022807084</v>
      </c>
      <c r="M123" s="28">
        <f>IF('E-Barrows'!A123&lt;'Adj-Barrows'!$B$10,'E-Barrows'!M123," ")</f>
        <v>3.5828180634375948</v>
      </c>
      <c r="N123" s="30">
        <f>IF('E-Barrows'!A123&lt;'Adj-Barrows'!$B$10,1/L123," ")</f>
        <v>3.152148368096813</v>
      </c>
      <c r="P123" s="31">
        <f t="shared" si="6"/>
        <v>2.5058343803125025</v>
      </c>
      <c r="Q123" s="31">
        <f t="shared" si="7"/>
        <v>7.8987617526229439</v>
      </c>
      <c r="R123" s="31">
        <f t="shared" si="8"/>
        <v>238.41106702347847</v>
      </c>
    </row>
    <row r="124" spans="1:18" x14ac:dyDescent="0.25">
      <c r="A124" s="28">
        <f>IF('E-Barrows'!A124&lt;'Adj-Barrows'!$B$10,'E-Barrows'!B124," ")</f>
        <v>99.645261997002081</v>
      </c>
      <c r="B124" s="26">
        <f>IF('E-Barrows'!A124&lt;'Adj-Barrows'!$B$10,'E-Barrows'!A124," ")</f>
        <v>142</v>
      </c>
      <c r="C124" s="26">
        <f>IF('E-Barrows'!A124&lt;'Adj-Barrows'!$B$10,'E-Barrows'!C124," ")</f>
        <v>1029.4228995889512</v>
      </c>
      <c r="D124" s="28">
        <f>IF('E-Barrows'!A124&lt;'Adj-Barrows'!$B$10,'E-Barrows'!G124," ")</f>
        <v>198.57505595747071</v>
      </c>
      <c r="E124" s="27">
        <f>IF('E-Barrows'!A124&lt;'Adj-Barrows'!$B$10,'E-Barrows'!D124," ")</f>
        <v>0.35586111758237693</v>
      </c>
      <c r="F124" s="27"/>
      <c r="G124" s="92">
        <f t="shared" si="5"/>
        <v>142</v>
      </c>
      <c r="H124" s="28">
        <f>IF('E-Barrows'!A124&lt;'Adj-Barrows'!$B$10,'E-Barrows'!I124," ")</f>
        <v>109.27626067919756</v>
      </c>
      <c r="I124" s="24">
        <f>IF('E-Barrows'!A124&lt;'Adj-Barrows'!$B$10,'E-Barrows'!A124," ")</f>
        <v>142</v>
      </c>
      <c r="J124" s="26">
        <f>IF('E-Barrows'!A124&lt;'Adj-Barrows'!$B$10,'E-Barrows'!J124," ")</f>
        <v>1134.8197537891112</v>
      </c>
      <c r="K124" s="28">
        <f>IF('E-Barrows'!A124&lt;'Adj-Barrows'!$B$10,'E-Barrows'!N124," ")</f>
        <v>246.56866883923837</v>
      </c>
      <c r="L124" s="27">
        <f>IF('E-Barrows'!A124&lt;'Adj-Barrows'!$B$10,'E-Barrows'!K124," ")</f>
        <v>0.31593693703579362</v>
      </c>
      <c r="M124" s="28">
        <f>IF('E-Barrows'!A124&lt;'Adj-Barrows'!$B$10,'E-Barrows'!M124," ")</f>
        <v>3.5919185785501977</v>
      </c>
      <c r="N124" s="30">
        <f>IF('E-Barrows'!A124&lt;'Adj-Barrows'!$B$10,1/L124," ")</f>
        <v>3.1651886271427214</v>
      </c>
      <c r="P124" s="31">
        <f t="shared" si="6"/>
        <v>2.5018493009243326</v>
      </c>
      <c r="Q124" s="31">
        <f t="shared" si="7"/>
        <v>7.918824954110665</v>
      </c>
      <c r="R124" s="31">
        <f t="shared" si="8"/>
        <v>240.91291632440283</v>
      </c>
    </row>
    <row r="125" spans="1:18" x14ac:dyDescent="0.25">
      <c r="A125" s="28">
        <f>IF('E-Barrows'!A125&lt;'Adj-Barrows'!$B$10,'E-Barrows'!B125," ")</f>
        <v>100.6729484453562</v>
      </c>
      <c r="B125" s="26">
        <f>IF('E-Barrows'!A125&lt;'Adj-Barrows'!$B$10,'E-Barrows'!A125," ")</f>
        <v>143</v>
      </c>
      <c r="C125" s="26">
        <f>IF('E-Barrows'!A125&lt;'Adj-Barrows'!$B$10,'E-Barrows'!C125," ")</f>
        <v>1027.6864483541176</v>
      </c>
      <c r="D125" s="28">
        <f>IF('E-Barrows'!A125&lt;'Adj-Barrows'!$B$10,'E-Barrows'!G125," ")</f>
        <v>201.47488243230964</v>
      </c>
      <c r="E125" s="27">
        <f>IF('E-Barrows'!A125&lt;'Adj-Barrows'!$B$10,'E-Barrows'!D125," ")</f>
        <v>0.3543958430861639</v>
      </c>
      <c r="F125" s="27"/>
      <c r="G125" s="92">
        <f t="shared" si="5"/>
        <v>143</v>
      </c>
      <c r="H125" s="28">
        <f>IF('E-Barrows'!A125&lt;'Adj-Barrows'!$B$10,'E-Barrows'!I125," ")</f>
        <v>110.40916619622007</v>
      </c>
      <c r="I125" s="24">
        <f>IF('E-Barrows'!A125&lt;'Adj-Barrows'!$B$10,'E-Barrows'!A125," ")</f>
        <v>143</v>
      </c>
      <c r="J125" s="26">
        <f>IF('E-Barrows'!A125&lt;'Adj-Barrows'!$B$10,'E-Barrows'!J125," ")</f>
        <v>1132.905517022504</v>
      </c>
      <c r="K125" s="28">
        <f>IF('E-Barrows'!A125&lt;'Adj-Barrows'!$B$10,'E-Barrows'!N125," ")</f>
        <v>250.16935448587341</v>
      </c>
      <c r="L125" s="27">
        <f>IF('E-Barrows'!A125&lt;'Adj-Barrows'!$B$10,'E-Barrows'!K125," ")</f>
        <v>0.31463605218668378</v>
      </c>
      <c r="M125" s="28">
        <f>IF('E-Barrows'!A125&lt;'Adj-Barrows'!$B$10,'E-Barrows'!M125," ")</f>
        <v>3.6006856466350348</v>
      </c>
      <c r="N125" s="30">
        <f>IF('E-Barrows'!A125&lt;'Adj-Barrows'!$B$10,1/L125," ")</f>
        <v>3.1782753217570487</v>
      </c>
      <c r="P125" s="31">
        <f t="shared" si="6"/>
        <v>2.4976291312450956</v>
      </c>
      <c r="Q125" s="31">
        <f t="shared" si="7"/>
        <v>7.9381530307377854</v>
      </c>
      <c r="R125" s="31">
        <f t="shared" si="8"/>
        <v>243.41054545564791</v>
      </c>
    </row>
    <row r="126" spans="1:18" x14ac:dyDescent="0.25">
      <c r="A126" s="28">
        <f>IF('E-Barrows'!A126&lt;'Adj-Barrows'!$B$10,'E-Barrows'!B126," ")</f>
        <v>101.69880378179708</v>
      </c>
      <c r="B126" s="26">
        <f>IF('E-Barrows'!A126&lt;'Adj-Barrows'!$B$10,'E-Barrows'!A126," ")</f>
        <v>144</v>
      </c>
      <c r="C126" s="26">
        <f>IF('E-Barrows'!A126&lt;'Adj-Barrows'!$B$10,'E-Barrows'!C126," ")</f>
        <v>1025.855336440884</v>
      </c>
      <c r="D126" s="28">
        <f>IF('E-Barrows'!A126&lt;'Adj-Barrows'!$B$10,'E-Barrows'!G126," ")</f>
        <v>204.38150937943598</v>
      </c>
      <c r="E126" s="27">
        <f>IF('E-Barrows'!A126&lt;'Adj-Barrows'!$B$10,'E-Barrows'!D126," ")</f>
        <v>0.35293670467587951</v>
      </c>
      <c r="F126" s="27"/>
      <c r="G126" s="92">
        <f t="shared" si="5"/>
        <v>144</v>
      </c>
      <c r="H126" s="28">
        <f>IF('E-Barrows'!A126&lt;'Adj-Barrows'!$B$10,'E-Barrows'!I126," ")</f>
        <v>111.54005312402005</v>
      </c>
      <c r="I126" s="24">
        <f>IF('E-Barrows'!A126&lt;'Adj-Barrows'!$B$10,'E-Barrows'!A126," ")</f>
        <v>144</v>
      </c>
      <c r="J126" s="26">
        <f>IF('E-Barrows'!A126&lt;'Adj-Barrows'!$B$10,'E-Barrows'!J126," ")</f>
        <v>1130.8869277999738</v>
      </c>
      <c r="K126" s="28">
        <f>IF('E-Barrows'!A126&lt;'Adj-Barrows'!$B$10,'E-Barrows'!N126," ")</f>
        <v>253.77848421120353</v>
      </c>
      <c r="L126" s="27">
        <f>IF('E-Barrows'!A126&lt;'Adj-Barrows'!$B$10,'E-Barrows'!K126," ")</f>
        <v>0.31334061501392269</v>
      </c>
      <c r="M126" s="28">
        <f>IF('E-Barrows'!A126&lt;'Adj-Barrows'!$B$10,'E-Barrows'!M126," ")</f>
        <v>3.6091297253301331</v>
      </c>
      <c r="N126" s="30">
        <f>IF('E-Barrows'!A126&lt;'Adj-Barrows'!$B$10,1/L126," ")</f>
        <v>3.191415195108259</v>
      </c>
      <c r="P126" s="31">
        <f t="shared" si="6"/>
        <v>2.4931789037808856</v>
      </c>
      <c r="Q126" s="31">
        <f t="shared" si="7"/>
        <v>7.9567690376496705</v>
      </c>
      <c r="R126" s="31">
        <f t="shared" si="8"/>
        <v>245.90372435942882</v>
      </c>
    </row>
    <row r="127" spans="1:18" x14ac:dyDescent="0.25">
      <c r="A127" s="28">
        <f>IF('E-Barrows'!A127&lt;'Adj-Barrows'!$B$10,'E-Barrows'!B127," ")</f>
        <v>102.72273540887643</v>
      </c>
      <c r="B127" s="26">
        <f>IF('E-Barrows'!A127&lt;'Adj-Barrows'!$B$10,'E-Barrows'!A127," ")</f>
        <v>145</v>
      </c>
      <c r="C127" s="26">
        <f>IF('E-Barrows'!A127&lt;'Adj-Barrows'!$B$10,'E-Barrows'!C127," ")</f>
        <v>1023.9316270793495</v>
      </c>
      <c r="D127" s="28">
        <f>IF('E-Barrows'!A127&lt;'Adj-Barrows'!$B$10,'E-Barrows'!G127," ")</f>
        <v>207.29468494462031</v>
      </c>
      <c r="E127" s="27">
        <f>IF('E-Barrows'!A127&lt;'Adj-Barrows'!$B$10,'E-Barrows'!D127," ")</f>
        <v>0.35148297937016426</v>
      </c>
      <c r="F127" s="27"/>
      <c r="G127" s="92">
        <f t="shared" si="5"/>
        <v>145</v>
      </c>
      <c r="H127" s="28">
        <f>IF('E-Barrows'!A127&lt;'Adj-Barrows'!$B$10,'E-Barrows'!I127," ")</f>
        <v>112.66881938461427</v>
      </c>
      <c r="I127" s="24">
        <f>IF('E-Barrows'!A127&lt;'Adj-Barrows'!$B$10,'E-Barrows'!A127," ")</f>
        <v>145</v>
      </c>
      <c r="J127" s="26">
        <f>IF('E-Barrows'!A127&lt;'Adj-Barrows'!$B$10,'E-Barrows'!J127," ")</f>
        <v>1128.7662605942121</v>
      </c>
      <c r="K127" s="28">
        <f>IF('E-Barrows'!A127&lt;'Adj-Barrows'!$B$10,'E-Barrows'!N127," ")</f>
        <v>257.39574529034098</v>
      </c>
      <c r="L127" s="27">
        <f>IF('E-Barrows'!A127&lt;'Adj-Barrows'!$B$10,'E-Barrows'!K127," ")</f>
        <v>0.31204998364767689</v>
      </c>
      <c r="M127" s="28">
        <f>IF('E-Barrows'!A127&lt;'Adj-Barrows'!$B$10,'E-Barrows'!M127," ")</f>
        <v>3.6172610791374269</v>
      </c>
      <c r="N127" s="30">
        <f>IF('E-Barrows'!A127&lt;'Adj-Barrows'!$B$10,1/L127," ")</f>
        <v>3.2046148130200187</v>
      </c>
      <c r="P127" s="31">
        <f t="shared" si="6"/>
        <v>2.4885036328856502</v>
      </c>
      <c r="Q127" s="31">
        <f t="shared" si="7"/>
        <v>7.9746956041994856</v>
      </c>
      <c r="R127" s="31">
        <f t="shared" si="8"/>
        <v>248.39222799231447</v>
      </c>
    </row>
    <row r="128" spans="1:18" x14ac:dyDescent="0.25">
      <c r="A128" s="28">
        <f>IF('E-Barrows'!A128&lt;'Adj-Barrows'!$B$10,'E-Barrows'!B128," ")</f>
        <v>103.74465278386459</v>
      </c>
      <c r="B128" s="26">
        <f>IF('E-Barrows'!A128&lt;'Adj-Barrows'!$B$10,'E-Barrows'!A128," ")</f>
        <v>146</v>
      </c>
      <c r="C128" s="26">
        <f>IF('E-Barrows'!A128&lt;'Adj-Barrows'!$B$10,'E-Barrows'!C128," ")</f>
        <v>1021.9173749881634</v>
      </c>
      <c r="D128" s="28">
        <f>IF('E-Barrows'!A128&lt;'Adj-Barrows'!$B$10,'E-Barrows'!G128," ")</f>
        <v>210.21416537938134</v>
      </c>
      <c r="E128" s="27">
        <f>IF('E-Barrows'!A128&lt;'Adj-Barrows'!$B$10,'E-Barrows'!D128," ")</f>
        <v>0.3500339864657494</v>
      </c>
      <c r="F128" s="27"/>
      <c r="G128" s="92">
        <f t="shared" si="5"/>
        <v>146</v>
      </c>
      <c r="H128" s="28">
        <f>IF('E-Barrows'!A128&lt;'Adj-Barrows'!$B$10,'E-Barrows'!I128," ")</f>
        <v>113.79536516510929</v>
      </c>
      <c r="I128" s="24">
        <f>IF('E-Barrows'!A128&lt;'Adj-Barrows'!$B$10,'E-Barrows'!A128," ")</f>
        <v>146</v>
      </c>
      <c r="J128" s="26">
        <f>IF('E-Barrows'!A128&lt;'Adj-Barrows'!$B$10,'E-Barrows'!J128," ")</f>
        <v>1126.5457804950208</v>
      </c>
      <c r="K128" s="28">
        <f>IF('E-Barrows'!A128&lt;'Adj-Barrows'!$B$10,'E-Barrows'!N128," ")</f>
        <v>261.02083506322464</v>
      </c>
      <c r="L128" s="27">
        <f>IF('E-Barrows'!A128&lt;'Adj-Barrows'!$B$10,'E-Barrows'!K128," ")</f>
        <v>0.31076355375301029</v>
      </c>
      <c r="M128" s="28">
        <f>IF('E-Barrows'!A128&lt;'Adj-Barrows'!$B$10,'E-Barrows'!M128," ")</f>
        <v>3.6250897728836651</v>
      </c>
      <c r="N128" s="30">
        <f>IF('E-Barrows'!A128&lt;'Adj-Barrows'!$B$10,1/L128," ")</f>
        <v>3.2178805652183504</v>
      </c>
      <c r="P128" s="31">
        <f t="shared" si="6"/>
        <v>2.483608312227608</v>
      </c>
      <c r="Q128" s="31">
        <f t="shared" si="7"/>
        <v>7.9919549195319686</v>
      </c>
      <c r="R128" s="31">
        <f t="shared" si="8"/>
        <v>250.87583630454208</v>
      </c>
    </row>
    <row r="129" spans="1:18" x14ac:dyDescent="0.25">
      <c r="A129" s="28">
        <f>IF('E-Barrows'!A129&lt;'Adj-Barrows'!$B$10,'E-Barrows'!B129," ")</f>
        <v>104.76446740923652</v>
      </c>
      <c r="B129" s="26">
        <f>IF('E-Barrows'!A129&lt;'Adj-Barrows'!$B$10,'E-Barrows'!A129," ")</f>
        <v>147</v>
      </c>
      <c r="C129" s="26">
        <f>IF('E-Barrows'!A129&lt;'Adj-Barrows'!$B$10,'E-Barrows'!C129," ")</f>
        <v>1019.8146253719216</v>
      </c>
      <c r="D129" s="28">
        <f>IF('E-Barrows'!A129&lt;'Adj-Barrows'!$B$10,'E-Barrows'!G129," ")</f>
        <v>213.13971487566462</v>
      </c>
      <c r="E129" s="27">
        <f>IF('E-Barrows'!A129&lt;'Adj-Barrows'!$B$10,'E-Barrows'!D129," ")</f>
        <v>0.34858908614177647</v>
      </c>
      <c r="F129" s="27"/>
      <c r="G129" s="92">
        <f t="shared" si="5"/>
        <v>147</v>
      </c>
      <c r="H129" s="28">
        <f>IF('E-Barrows'!A129&lt;'Adj-Barrows'!$B$10,'E-Barrows'!I129," ")</f>
        <v>114.91959290721334</v>
      </c>
      <c r="I129" s="24">
        <f>IF('E-Barrows'!A129&lt;'Adj-Barrows'!$B$10,'E-Barrows'!A129," ")</f>
        <v>147</v>
      </c>
      <c r="J129" s="26">
        <f>IF('E-Barrows'!A129&lt;'Adj-Barrows'!$B$10,'E-Barrows'!J129," ")</f>
        <v>1124.2277421040578</v>
      </c>
      <c r="K129" s="28">
        <f>IF('E-Barrows'!A129&lt;'Adj-Barrows'!$B$10,'E-Barrows'!N129," ")</f>
        <v>264.65346072934238</v>
      </c>
      <c r="L129" s="27">
        <f>IF('E-Barrows'!A129&lt;'Adj-Barrows'!$B$10,'E-Barrows'!K129," ")</f>
        <v>0.3094807572907855</v>
      </c>
      <c r="M129" s="28">
        <f>IF('E-Barrows'!A129&lt;'Adj-Barrows'!$B$10,'E-Barrows'!M129," ")</f>
        <v>3.6326256661177254</v>
      </c>
      <c r="N129" s="30">
        <f>IF('E-Barrows'!A129&lt;'Adj-Barrows'!$B$10,1/L129," ")</f>
        <v>3.2312186668859946</v>
      </c>
      <c r="P129" s="31">
        <f t="shared" si="6"/>
        <v>2.4784979123525774</v>
      </c>
      <c r="Q129" s="31">
        <f t="shared" si="7"/>
        <v>8.0085687202316151</v>
      </c>
      <c r="R129" s="31">
        <f t="shared" si="8"/>
        <v>253.35433421689461</v>
      </c>
    </row>
    <row r="130" spans="1:18" x14ac:dyDescent="0.25">
      <c r="A130" s="28">
        <f>IF('E-Barrows'!A130&lt;'Adj-Barrows'!$B$10,'E-Barrows'!B130," ")</f>
        <v>105.78209282219514</v>
      </c>
      <c r="B130" s="26">
        <f>IF('E-Barrows'!A130&lt;'Adj-Barrows'!$B$10,'E-Barrows'!A130," ")</f>
        <v>148</v>
      </c>
      <c r="C130" s="26">
        <f>IF('E-Barrows'!A130&lt;'Adj-Barrows'!$B$10,'E-Barrows'!C130," ")</f>
        <v>1017.6254129586226</v>
      </c>
      <c r="D130" s="28">
        <f>IF('E-Barrows'!A130&lt;'Adj-Barrows'!$B$10,'E-Barrows'!G130," ")</f>
        <v>216.07110539672192</v>
      </c>
      <c r="E130" s="27">
        <f>IF('E-Barrows'!A130&lt;'Adj-Barrows'!$B$10,'E-Barrows'!D130," ")</f>
        <v>0.34714767808950286</v>
      </c>
      <c r="F130" s="27"/>
      <c r="G130" s="92">
        <f t="shared" si="5"/>
        <v>148</v>
      </c>
      <c r="H130" s="28">
        <f>IF('E-Barrows'!A130&lt;'Adj-Barrows'!$B$10,'E-Barrows'!I130," ")</f>
        <v>116.04140729568708</v>
      </c>
      <c r="I130" s="24">
        <f>IF('E-Barrows'!A130&lt;'Adj-Barrows'!$B$10,'E-Barrows'!A130," ")</f>
        <v>148</v>
      </c>
      <c r="J130" s="26">
        <f>IF('E-Barrows'!A130&lt;'Adj-Barrows'!$B$10,'E-Barrows'!J130," ")</f>
        <v>1121.8143884737431</v>
      </c>
      <c r="K130" s="28">
        <f>IF('E-Barrows'!A130&lt;'Adj-Barrows'!$B$10,'E-Barrows'!N130," ")</f>
        <v>268.29333913773553</v>
      </c>
      <c r="L130" s="27">
        <f>IF('E-Barrows'!A130&lt;'Adj-Barrows'!$B$10,'E-Barrows'!K130," ")</f>
        <v>0.30820106130110314</v>
      </c>
      <c r="M130" s="28">
        <f>IF('E-Barrows'!A130&lt;'Adj-Barrows'!$B$10,'E-Barrows'!M130," ")</f>
        <v>3.6398784083931632</v>
      </c>
      <c r="N130" s="30">
        <f>IF('E-Barrows'!A130&lt;'Adj-Barrows'!$B$10,1/L130," ")</f>
        <v>3.244635160496836</v>
      </c>
      <c r="P130" s="31">
        <f t="shared" si="6"/>
        <v>2.4731773783446647</v>
      </c>
      <c r="Q130" s="31">
        <f t="shared" si="7"/>
        <v>8.0245582799224842</v>
      </c>
      <c r="R130" s="31">
        <f t="shared" si="8"/>
        <v>255.82751159523932</v>
      </c>
    </row>
    <row r="131" spans="1:18" x14ac:dyDescent="0.25">
      <c r="A131" s="28">
        <f>IF('E-Barrows'!A131&lt;'Adj-Barrows'!$B$10,'E-Barrows'!B131," ")</f>
        <v>106.79744458327079</v>
      </c>
      <c r="B131" s="26">
        <f>IF('E-Barrows'!A131&lt;'Adj-Barrows'!$B$10,'E-Barrows'!A131," ")</f>
        <v>149</v>
      </c>
      <c r="C131" s="26">
        <f>IF('E-Barrows'!A131&lt;'Adj-Barrows'!$B$10,'E-Barrows'!C131," ")</f>
        <v>1015.3517610756495</v>
      </c>
      <c r="D131" s="28">
        <f>IF('E-Barrows'!A131&lt;'Adj-Barrows'!$B$10,'E-Barrows'!G131," ")</f>
        <v>219.00811650486369</v>
      </c>
      <c r="E131" s="27">
        <f>IF('E-Barrows'!A131&lt;'Adj-Barrows'!$B$10,'E-Barrows'!D131," ")</f>
        <v>0.34570920016644197</v>
      </c>
      <c r="F131" s="27"/>
      <c r="G131" s="92">
        <f t="shared" si="5"/>
        <v>149</v>
      </c>
      <c r="H131" s="28">
        <f>IF('E-Barrows'!A131&lt;'Adj-Barrows'!$B$10,'E-Barrows'!I131," ")</f>
        <v>117.16071524577572</v>
      </c>
      <c r="I131" s="24">
        <f>IF('E-Barrows'!A131&lt;'Adj-Barrows'!$B$10,'E-Barrows'!A131," ")</f>
        <v>149</v>
      </c>
      <c r="J131" s="26">
        <f>IF('E-Barrows'!A131&lt;'Adj-Barrows'!$B$10,'E-Barrows'!J131," ")</f>
        <v>1119.3079500886363</v>
      </c>
      <c r="K131" s="28">
        <f>IF('E-Barrows'!A131&lt;'Adj-Barrows'!$B$10,'E-Barrows'!N131," ")</f>
        <v>271.94019657312094</v>
      </c>
      <c r="L131" s="27">
        <f>IF('E-Barrows'!A131&lt;'Adj-Barrows'!$B$10,'E-Barrows'!K131," ")</f>
        <v>0.30692396670843453</v>
      </c>
      <c r="M131" s="28">
        <f>IF('E-Barrows'!A131&lt;'Adj-Barrows'!$B$10,'E-Barrows'!M131," ")</f>
        <v>3.6468574353854026</v>
      </c>
      <c r="N131" s="30">
        <f>IF('E-Barrows'!A131&lt;'Adj-Barrows'!$B$10,1/L131," ")</f>
        <v>3.2581359179094669</v>
      </c>
      <c r="P131" s="31">
        <f t="shared" si="6"/>
        <v>2.467651627580588</v>
      </c>
      <c r="Q131" s="31">
        <f t="shared" si="7"/>
        <v>8.0399444007080696</v>
      </c>
      <c r="R131" s="31">
        <f t="shared" si="8"/>
        <v>258.29516322281995</v>
      </c>
    </row>
    <row r="132" spans="1:18" x14ac:dyDescent="0.25">
      <c r="A132" s="28">
        <f>IF('E-Barrows'!A132&lt;'Adj-Barrows'!$B$10,'E-Barrows'!B132," ")</f>
        <v>107.81044026403629</v>
      </c>
      <c r="B132" s="26">
        <f>IF('E-Barrows'!A132&lt;'Adj-Barrows'!$B$10,'E-Barrows'!A132," ")</f>
        <v>150</v>
      </c>
      <c r="C132" s="26">
        <f>IF('E-Barrows'!A132&lt;'Adj-Barrows'!$B$10,'E-Barrows'!C132," ")</f>
        <v>1012.9956807654992</v>
      </c>
      <c r="D132" s="28">
        <f>IF('E-Barrows'!A132&lt;'Adj-Barrows'!$B$10,'E-Barrows'!G132," ")</f>
        <v>221.95053518671637</v>
      </c>
      <c r="E132" s="27">
        <f>IF('E-Barrows'!A132&lt;'Adj-Barrows'!$B$10,'E-Barrows'!D132," ")</f>
        <v>0.34427312707506291</v>
      </c>
      <c r="F132" s="27"/>
      <c r="G132" s="92">
        <f t="shared" ref="G132:G185" si="9">IFERROR(I132,"")</f>
        <v>150</v>
      </c>
      <c r="H132" s="28">
        <f>IF('E-Barrows'!A132&lt;'Adj-Barrows'!$B$10,'E-Barrows'!I132," ")</f>
        <v>118.27742588966635</v>
      </c>
      <c r="I132" s="24">
        <f>IF('E-Barrows'!A132&lt;'Adj-Barrows'!$B$10,'E-Barrows'!A132," ")</f>
        <v>150</v>
      </c>
      <c r="J132" s="26">
        <f>IF('E-Barrows'!A132&lt;'Adj-Barrows'!$B$10,'E-Barrows'!J132," ")</f>
        <v>1116.7106438906299</v>
      </c>
      <c r="K132" s="28">
        <f>IF('E-Barrows'!A132&lt;'Adj-Barrows'!$B$10,'E-Barrows'!N132," ")</f>
        <v>275.59376853891456</v>
      </c>
      <c r="L132" s="27">
        <f>IF('E-Barrows'!A132&lt;'Adj-Barrows'!$B$10,'E-Barrows'!K132," ")</f>
        <v>0.30564900714855847</v>
      </c>
      <c r="M132" s="28">
        <f>IF('E-Barrows'!A132&lt;'Adj-Barrows'!$B$10,'E-Barrows'!M132," ")</f>
        <v>3.653571965793629</v>
      </c>
      <c r="N132" s="30">
        <f>IF('E-Barrows'!A132&lt;'Adj-Barrows'!$B$10,1/L132," ")</f>
        <v>3.2717266426910308</v>
      </c>
      <c r="P132" s="31">
        <f t="shared" si="6"/>
        <v>2.461925547580595</v>
      </c>
      <c r="Q132" s="31">
        <f t="shared" si="7"/>
        <v>8.0547474063411357</v>
      </c>
      <c r="R132" s="31">
        <f t="shared" si="8"/>
        <v>260.75708877040051</v>
      </c>
    </row>
    <row r="133" spans="1:18" x14ac:dyDescent="0.25">
      <c r="A133" s="28">
        <f>IF('E-Barrows'!A133&lt;'Adj-Barrows'!$B$10,'E-Barrows'!B133," ")</f>
        <v>108.82099943397567</v>
      </c>
      <c r="B133" s="26">
        <f>IF('E-Barrows'!A133&lt;'Adj-Barrows'!$B$10,'E-Barrows'!A133," ")</f>
        <v>151</v>
      </c>
      <c r="C133" s="26">
        <f>IF('E-Barrows'!A133&lt;'Adj-Barrows'!$B$10,'E-Barrows'!C133," ")</f>
        <v>1010.5591699393841</v>
      </c>
      <c r="D133" s="28">
        <f>IF('E-Barrows'!A133&lt;'Adj-Barrows'!$B$10,'E-Barrows'!G133," ")</f>
        <v>224.89815567657709</v>
      </c>
      <c r="E133" s="27">
        <f>IF('E-Barrows'!A133&lt;'Adj-Barrows'!$B$10,'E-Barrows'!D133," ")</f>
        <v>0.3428389690652236</v>
      </c>
      <c r="F133" s="27"/>
      <c r="G133" s="92">
        <f t="shared" si="9"/>
        <v>151</v>
      </c>
      <c r="H133" s="28">
        <f>IF('E-Barrows'!A133&lt;'Adj-Barrows'!$B$10,'E-Barrows'!I133," ")</f>
        <v>119.39145056201224</v>
      </c>
      <c r="I133" s="24">
        <f>IF('E-Barrows'!A133&lt;'Adj-Barrows'!$B$10,'E-Barrows'!A133," ")</f>
        <v>151</v>
      </c>
      <c r="J133" s="26">
        <f>IF('E-Barrows'!A133&lt;'Adj-Barrows'!$B$10,'E-Barrows'!J133," ")</f>
        <v>1114.0246723458931</v>
      </c>
      <c r="K133" s="28">
        <f>IF('E-Barrows'!A133&lt;'Adj-Barrows'!$B$10,'E-Barrows'!N133," ")</f>
        <v>279.25379953789303</v>
      </c>
      <c r="L133" s="27">
        <f>IF('E-Barrows'!A133&lt;'Adj-Barrows'!$B$10,'E-Barrows'!K133," ")</f>
        <v>0.30437574781656895</v>
      </c>
      <c r="M133" s="28">
        <f>IF('E-Barrows'!A133&lt;'Adj-Barrows'!$B$10,'E-Barrows'!M133," ")</f>
        <v>3.6600309989784612</v>
      </c>
      <c r="N133" s="30">
        <f>IF('E-Barrows'!A133&lt;'Adj-Barrows'!$B$10,1/L133," ")</f>
        <v>3.2854128726532008</v>
      </c>
      <c r="P133" s="31">
        <f t="shared" ref="P133:P185" si="10">IFERROR(IF(J133&lt;0,"",CONVERT(J133,"g", "lbm")),"")</f>
        <v>2.4560039939514264</v>
      </c>
      <c r="Q133" s="31">
        <f t="shared" ref="Q133:Q185" si="11">IFERROR(IF(M133&lt;0,"",CONVERT(M133,"kg", "lbm")),"")</f>
        <v>8.0689871370156876</v>
      </c>
      <c r="R133" s="31">
        <f t="shared" ref="R133:R185" si="12">IFERROR(IF(H133&lt;0,"",CONVERT(H133,"kg", "lbm")),"")</f>
        <v>263.21309276435187</v>
      </c>
    </row>
    <row r="134" spans="1:18" x14ac:dyDescent="0.25">
      <c r="A134" s="28">
        <f>IF('E-Barrows'!A134&lt;'Adj-Barrows'!$B$10,'E-Barrows'!B134," ")</f>
        <v>109.82904364654478</v>
      </c>
      <c r="B134" s="26">
        <f>IF('E-Barrows'!A134&lt;'Adj-Barrows'!$B$10,'E-Barrows'!A134," ")</f>
        <v>152</v>
      </c>
      <c r="C134" s="26">
        <f>IF('E-Barrows'!A134&lt;'Adj-Barrows'!$B$10,'E-Barrows'!C134," ")</f>
        <v>1008.0442125691036</v>
      </c>
      <c r="D134" s="28">
        <f>IF('E-Barrows'!A134&lt;'Adj-Barrows'!$B$10,'E-Barrows'!G134," ")</f>
        <v>227.85077927842011</v>
      </c>
      <c r="E134" s="27">
        <f>IF('E-Barrows'!A134&lt;'Adj-Barrows'!$B$10,'E-Barrows'!D134," ")</f>
        <v>0.34140627066039952</v>
      </c>
      <c r="F134" s="27"/>
      <c r="G134" s="92">
        <f t="shared" si="9"/>
        <v>152</v>
      </c>
      <c r="H134" s="28">
        <f>IF('E-Barrows'!A134&lt;'Adj-Barrows'!$B$10,'E-Barrows'!I134," ")</f>
        <v>120.50270278456624</v>
      </c>
      <c r="I134" s="24">
        <f>IF('E-Barrows'!A134&lt;'Adj-Barrows'!$B$10,'E-Barrows'!A134," ")</f>
        <v>152</v>
      </c>
      <c r="J134" s="26">
        <f>IF('E-Barrows'!A134&lt;'Adj-Barrows'!$B$10,'E-Barrows'!J134," ")</f>
        <v>1111.2522225540033</v>
      </c>
      <c r="K134" s="28">
        <f>IF('E-Barrows'!A134&lt;'Adj-Barrows'!$B$10,'E-Barrows'!N134," ")</f>
        <v>282.92004285118043</v>
      </c>
      <c r="L134" s="27">
        <f>IF('E-Barrows'!A134&lt;'Adj-Barrows'!$B$10,'E-Barrows'!K134," ")</f>
        <v>0.3031037843360086</v>
      </c>
      <c r="M134" s="28">
        <f>IF('E-Barrows'!A134&lt;'Adj-Barrows'!$B$10,'E-Barrows'!M134," ")</f>
        <v>3.6662433132874188</v>
      </c>
      <c r="N134" s="30">
        <f>IF('E-Barrows'!A134&lt;'Adj-Barrows'!$B$10,1/L134," ")</f>
        <v>3.2991999825757388</v>
      </c>
      <c r="P134" s="31">
        <f t="shared" si="10"/>
        <v>2.4498917884222862</v>
      </c>
      <c r="Q134" s="31">
        <f t="shared" si="11"/>
        <v>8.082682945675252</v>
      </c>
      <c r="R134" s="31">
        <f t="shared" si="12"/>
        <v>265.66298455277422</v>
      </c>
    </row>
    <row r="135" spans="1:18" x14ac:dyDescent="0.25">
      <c r="A135" s="28">
        <f>IF('E-Barrows'!A135&lt;'Adj-Barrows'!$B$10,'E-Barrows'!B135," ")</f>
        <v>110.83449642446033</v>
      </c>
      <c r="B135" s="26">
        <f>IF('E-Barrows'!A135&lt;'Adj-Barrows'!$B$10,'E-Barrows'!A135," ")</f>
        <v>153</v>
      </c>
      <c r="C135" s="26">
        <f>IF('E-Barrows'!A135&lt;'Adj-Barrows'!$B$10,'E-Barrows'!C135," ")</f>
        <v>1005.4527779155507</v>
      </c>
      <c r="D135" s="28">
        <f>IF('E-Barrows'!A135&lt;'Adj-Barrows'!$B$10,'E-Barrows'!G135," ")</f>
        <v>230.80821418707063</v>
      </c>
      <c r="E135" s="27">
        <f>IF('E-Barrows'!A135&lt;'Adj-Barrows'!$B$10,'E-Barrows'!D135," ")</f>
        <v>0.33997460940715724</v>
      </c>
      <c r="F135" s="27"/>
      <c r="G135" s="92">
        <f t="shared" si="9"/>
        <v>153</v>
      </c>
      <c r="H135" s="28">
        <f>IF('E-Barrows'!A135&lt;'Adj-Barrows'!$B$10,'E-Barrows'!I135," ")</f>
        <v>121.6110982499637</v>
      </c>
      <c r="I135" s="24">
        <f>IF('E-Barrows'!A135&lt;'Adj-Barrows'!$B$10,'E-Barrows'!A135," ")</f>
        <v>153</v>
      </c>
      <c r="J135" s="26">
        <f>IF('E-Barrows'!A135&lt;'Adj-Barrows'!$B$10,'E-Barrows'!J135," ")</f>
        <v>1108.3954653974647</v>
      </c>
      <c r="K135" s="28">
        <f>IF('E-Barrows'!A135&lt;'Adj-Barrows'!$B$10,'E-Barrows'!N135," ")</f>
        <v>286.59226031620199</v>
      </c>
      <c r="L135" s="27">
        <f>IF('E-Barrows'!A135&lt;'Adj-Barrows'!$B$10,'E-Barrows'!K135," ")</f>
        <v>0.30183274164863916</v>
      </c>
      <c r="M135" s="28">
        <f>IF('E-Barrows'!A135&lt;'Adj-Barrows'!$B$10,'E-Barrows'!M135," ")</f>
        <v>3.6722174650215322</v>
      </c>
      <c r="N135" s="30">
        <f>IF('E-Barrows'!A135&lt;'Adj-Barrows'!$B$10,1/L135," ")</f>
        <v>3.3130931871005935</v>
      </c>
      <c r="P135" s="31">
        <f t="shared" si="10"/>
        <v>2.4435937169698527</v>
      </c>
      <c r="Q135" s="31">
        <f t="shared" si="11"/>
        <v>8.0958536957346343</v>
      </c>
      <c r="R135" s="31">
        <f t="shared" si="12"/>
        <v>268.10657826974403</v>
      </c>
    </row>
    <row r="136" spans="1:18" x14ac:dyDescent="0.25">
      <c r="A136" s="28">
        <f>IF('E-Barrows'!A136&lt;'Adj-Barrows'!$B$10,'E-Barrows'!B136," ")</f>
        <v>111.83728324425583</v>
      </c>
      <c r="B136" s="26">
        <f>IF('E-Barrows'!A136&lt;'Adj-Barrows'!$B$10,'E-Barrows'!A136," ")</f>
        <v>154</v>
      </c>
      <c r="C136" s="26">
        <f>IF('E-Barrows'!A136&lt;'Adj-Barrows'!$B$10,'E-Barrows'!C136," ")</f>
        <v>1002.786819795503</v>
      </c>
      <c r="D136" s="28">
        <f>IF('E-Barrows'!A136&lt;'Adj-Barrows'!$B$10,'E-Barrows'!G136," ")</f>
        <v>233.77027530902629</v>
      </c>
      <c r="E136" s="27">
        <f>IF('E-Barrows'!A136&lt;'Adj-Barrows'!$B$10,'E-Barrows'!D136," ")</f>
        <v>0.33854359464852141</v>
      </c>
      <c r="F136" s="27"/>
      <c r="G136" s="92">
        <f t="shared" si="9"/>
        <v>154</v>
      </c>
      <c r="H136" s="28">
        <f>IF('E-Barrows'!A136&lt;'Adj-Barrows'!$B$10,'E-Barrows'!I136," ")</f>
        <v>122.71655480469713</v>
      </c>
      <c r="I136" s="24">
        <f>IF('E-Barrows'!A136&lt;'Adj-Barrows'!$B$10,'E-Barrows'!A136," ")</f>
        <v>154</v>
      </c>
      <c r="J136" s="26">
        <f>IF('E-Barrows'!A136&lt;'Adj-Barrows'!$B$10,'E-Barrows'!J136," ")</f>
        <v>1105.4565547334289</v>
      </c>
      <c r="K136" s="28">
        <f>IF('E-Barrows'!A136&lt;'Adj-Barrows'!$B$10,'E-Barrows'!N136," ")</f>
        <v>290.2702221041996</v>
      </c>
      <c r="L136" s="27">
        <f>IF('E-Barrows'!A136&lt;'Adj-Barrows'!$B$10,'E-Barrows'!K136," ")</f>
        <v>0.30056227292542503</v>
      </c>
      <c r="M136" s="28">
        <f>IF('E-Barrows'!A136&lt;'Adj-Barrows'!$B$10,'E-Barrows'!M136," ")</f>
        <v>3.6779617879976336</v>
      </c>
      <c r="N136" s="30">
        <f>IF('E-Barrows'!A136&lt;'Adj-Barrows'!$B$10,1/L136," ")</f>
        <v>3.327097543769634</v>
      </c>
      <c r="P136" s="31">
        <f t="shared" si="10"/>
        <v>2.4371145280363269</v>
      </c>
      <c r="Q136" s="31">
        <f t="shared" si="11"/>
        <v>8.108517760114955</v>
      </c>
      <c r="R136" s="31">
        <f t="shared" si="12"/>
        <v>270.54369279778035</v>
      </c>
    </row>
    <row r="137" spans="1:18" x14ac:dyDescent="0.25">
      <c r="A137" s="28">
        <f>IF('E-Barrows'!A137&lt;'Adj-Barrows'!$B$10,'E-Barrows'!B137," ")</f>
        <v>112.8373315201386</v>
      </c>
      <c r="B137" s="26">
        <f>IF('E-Barrows'!A137&lt;'Adj-Barrows'!$B$10,'E-Barrows'!A137," ")</f>
        <v>155</v>
      </c>
      <c r="C137" s="26">
        <f>IF('E-Barrows'!A137&lt;'Adj-Barrows'!$B$10,'E-Barrows'!C137," ")</f>
        <v>1000.0482758827758</v>
      </c>
      <c r="D137" s="28">
        <f>IF('E-Barrows'!A137&lt;'Adj-Barrows'!$B$10,'E-Barrows'!G137," ")</f>
        <v>236.73678408337054</v>
      </c>
      <c r="E137" s="27">
        <f>IF('E-Barrows'!A137&lt;'Adj-Barrows'!$B$10,'E-Barrows'!D137," ")</f>
        <v>0.337112866320052</v>
      </c>
      <c r="F137" s="27"/>
      <c r="G137" s="92">
        <f t="shared" si="9"/>
        <v>155</v>
      </c>
      <c r="H137" s="28">
        <f>IF('E-Barrows'!A137&lt;'Adj-Barrows'!$B$10,'E-Barrows'!I137," ")</f>
        <v>123.81899243132042</v>
      </c>
      <c r="I137" s="24">
        <f>IF('E-Barrows'!A137&lt;'Adj-Barrows'!$B$10,'E-Barrows'!A137," ")</f>
        <v>155</v>
      </c>
      <c r="J137" s="26">
        <f>IF('E-Barrows'!A137&lt;'Adj-Barrows'!$B$10,'E-Barrows'!J137," ")</f>
        <v>1102.4376266232978</v>
      </c>
      <c r="K137" s="28">
        <f>IF('E-Barrows'!A137&lt;'Adj-Barrows'!$B$10,'E-Barrows'!N137," ")</f>
        <v>293.95370649786202</v>
      </c>
      <c r="L137" s="27">
        <f>IF('E-Barrows'!A137&lt;'Adj-Barrows'!$B$10,'E-Barrows'!K137," ")</f>
        <v>0.29929205849767904</v>
      </c>
      <c r="M137" s="28">
        <f>IF('E-Barrows'!A137&lt;'Adj-Barrows'!$B$10,'E-Barrows'!M137," ")</f>
        <v>3.6834843936624102</v>
      </c>
      <c r="N137" s="30">
        <f>IF('E-Barrows'!A137&lt;'Adj-Barrows'!$B$10,1/L137," ")</f>
        <v>3.3412179561983093</v>
      </c>
      <c r="P137" s="31">
        <f t="shared" si="10"/>
        <v>2.4304589308309965</v>
      </c>
      <c r="Q137" s="31">
        <f t="shared" si="11"/>
        <v>8.1206930214950717</v>
      </c>
      <c r="R137" s="31">
        <f t="shared" si="12"/>
        <v>272.97415172861133</v>
      </c>
    </row>
    <row r="138" spans="1:18" x14ac:dyDescent="0.25">
      <c r="A138" s="28" t="str">
        <f>IF('E-Barrows'!A138&lt;'Adj-Barrows'!$B$10,'E-Barrows'!B138," ")</f>
        <v xml:space="preserve"> </v>
      </c>
      <c r="B138" s="26" t="str">
        <f>IF('E-Barrows'!A138&lt;'Adj-Barrows'!$B$10,'E-Barrows'!A138," ")</f>
        <v xml:space="preserve"> </v>
      </c>
      <c r="C138" s="26" t="str">
        <f>IF('E-Barrows'!A138&lt;'Adj-Barrows'!$B$10,'E-Barrows'!C138," ")</f>
        <v xml:space="preserve"> </v>
      </c>
      <c r="D138" s="28" t="str">
        <f>IF('E-Barrows'!A138&lt;'Adj-Barrows'!$B$10,'E-Barrows'!G138," ")</f>
        <v xml:space="preserve"> </v>
      </c>
      <c r="E138" s="27" t="str">
        <f>IF('E-Barrows'!A138&lt;'Adj-Barrows'!$B$10,'E-Barrows'!D138," ")</f>
        <v xml:space="preserve"> </v>
      </c>
      <c r="F138" s="27"/>
      <c r="G138" s="92" t="str">
        <f t="shared" si="9"/>
        <v xml:space="preserve"> </v>
      </c>
      <c r="H138" s="28" t="str">
        <f>IF('E-Barrows'!A138&lt;'Adj-Barrows'!$B$10,'E-Barrows'!I138," ")</f>
        <v xml:space="preserve"> </v>
      </c>
      <c r="I138" s="24" t="str">
        <f>IF('E-Barrows'!A138&lt;'Adj-Barrows'!$B$10,'E-Barrows'!A138," ")</f>
        <v xml:space="preserve"> </v>
      </c>
      <c r="J138" s="26" t="str">
        <f>IF('E-Barrows'!A138&lt;'Adj-Barrows'!$B$10,'E-Barrows'!J138," ")</f>
        <v xml:space="preserve"> </v>
      </c>
      <c r="K138" s="28" t="str">
        <f>IF('E-Barrows'!A138&lt;'Adj-Barrows'!$B$10,'E-Barrows'!N138," ")</f>
        <v xml:space="preserve"> </v>
      </c>
      <c r="L138" s="27" t="str">
        <f>IF('E-Barrows'!A138&lt;'Adj-Barrows'!$B$10,'E-Barrows'!K138," ")</f>
        <v xml:space="preserve"> </v>
      </c>
      <c r="M138" s="28" t="str">
        <f>IF('E-Barrows'!A138&lt;'Adj-Barrows'!$B$10,'E-Barrows'!M138," ")</f>
        <v xml:space="preserve"> </v>
      </c>
      <c r="N138" s="30" t="str">
        <f>IF('E-Barrows'!A138&lt;'Adj-Barrows'!$B$10,1/L138," ")</f>
        <v xml:space="preserve"> </v>
      </c>
      <c r="P138" s="31" t="str">
        <f t="shared" si="10"/>
        <v/>
      </c>
      <c r="Q138" s="31" t="str">
        <f t="shared" si="11"/>
        <v/>
      </c>
      <c r="R138" s="31" t="str">
        <f t="shared" si="12"/>
        <v/>
      </c>
    </row>
    <row r="139" spans="1:18" x14ac:dyDescent="0.25">
      <c r="A139" s="28" t="str">
        <f>IF('E-Barrows'!A139&lt;'Adj-Barrows'!$B$10,'E-Barrows'!B139," ")</f>
        <v xml:space="preserve"> </v>
      </c>
      <c r="B139" s="26" t="str">
        <f>IF('E-Barrows'!A139&lt;'Adj-Barrows'!$B$10,'E-Barrows'!A139," ")</f>
        <v xml:space="preserve"> </v>
      </c>
      <c r="C139" s="26" t="str">
        <f>IF('E-Barrows'!A139&lt;'Adj-Barrows'!$B$10,'E-Barrows'!C139," ")</f>
        <v xml:space="preserve"> </v>
      </c>
      <c r="D139" s="28" t="str">
        <f>IF('E-Barrows'!A139&lt;'Adj-Barrows'!$B$10,'E-Barrows'!G139," ")</f>
        <v xml:space="preserve"> </v>
      </c>
      <c r="E139" s="27" t="str">
        <f>IF('E-Barrows'!A139&lt;'Adj-Barrows'!$B$10,'E-Barrows'!D139," ")</f>
        <v xml:space="preserve"> </v>
      </c>
      <c r="F139" s="27"/>
      <c r="G139" s="92" t="str">
        <f t="shared" si="9"/>
        <v xml:space="preserve"> </v>
      </c>
      <c r="H139" s="28" t="str">
        <f>IF('E-Barrows'!A139&lt;'Adj-Barrows'!$B$10,'E-Barrows'!I139," ")</f>
        <v xml:space="preserve"> </v>
      </c>
      <c r="I139" s="24" t="str">
        <f>IF('E-Barrows'!A139&lt;'Adj-Barrows'!$B$10,'E-Barrows'!A139," ")</f>
        <v xml:space="preserve"> </v>
      </c>
      <c r="J139" s="26" t="str">
        <f>IF('E-Barrows'!A139&lt;'Adj-Barrows'!$B$10,'E-Barrows'!J139," ")</f>
        <v xml:space="preserve"> </v>
      </c>
      <c r="K139" s="28" t="str">
        <f>IF('E-Barrows'!A139&lt;'Adj-Barrows'!$B$10,'E-Barrows'!N139," ")</f>
        <v xml:space="preserve"> </v>
      </c>
      <c r="L139" s="27" t="str">
        <f>IF('E-Barrows'!A139&lt;'Adj-Barrows'!$B$10,'E-Barrows'!K139," ")</f>
        <v xml:space="preserve"> </v>
      </c>
      <c r="M139" s="28" t="str">
        <f>IF('E-Barrows'!A139&lt;'Adj-Barrows'!$B$10,'E-Barrows'!M139," ")</f>
        <v xml:space="preserve"> </v>
      </c>
      <c r="N139" s="30" t="str">
        <f>IF('E-Barrows'!A139&lt;'Adj-Barrows'!$B$10,1/L139," ")</f>
        <v xml:space="preserve"> </v>
      </c>
      <c r="P139" s="31" t="str">
        <f t="shared" si="10"/>
        <v/>
      </c>
      <c r="Q139" s="31" t="str">
        <f t="shared" si="11"/>
        <v/>
      </c>
      <c r="R139" s="31" t="str">
        <f t="shared" si="12"/>
        <v/>
      </c>
    </row>
    <row r="140" spans="1:18" x14ac:dyDescent="0.25">
      <c r="A140" s="28" t="str">
        <f>IF('E-Barrows'!A140&lt;'Adj-Barrows'!$B$10,'E-Barrows'!B140," ")</f>
        <v xml:space="preserve"> </v>
      </c>
      <c r="B140" s="26" t="str">
        <f>IF('E-Barrows'!A140&lt;'Adj-Barrows'!$B$10,'E-Barrows'!A140," ")</f>
        <v xml:space="preserve"> </v>
      </c>
      <c r="C140" s="26" t="str">
        <f>IF('E-Barrows'!A140&lt;'Adj-Barrows'!$B$10,'E-Barrows'!C140," ")</f>
        <v xml:space="preserve"> </v>
      </c>
      <c r="D140" s="28" t="str">
        <f>IF('E-Barrows'!A140&lt;'Adj-Barrows'!$B$10,'E-Barrows'!G140," ")</f>
        <v xml:space="preserve"> </v>
      </c>
      <c r="E140" s="27" t="str">
        <f>IF('E-Barrows'!A140&lt;'Adj-Barrows'!$B$10,'E-Barrows'!D140," ")</f>
        <v xml:space="preserve"> </v>
      </c>
      <c r="F140" s="27"/>
      <c r="G140" s="92" t="str">
        <f t="shared" si="9"/>
        <v xml:space="preserve"> </v>
      </c>
      <c r="H140" s="28" t="str">
        <f>IF('E-Barrows'!A140&lt;'Adj-Barrows'!$B$10,'E-Barrows'!I140," ")</f>
        <v xml:space="preserve"> </v>
      </c>
      <c r="I140" s="24" t="str">
        <f>IF('E-Barrows'!A140&lt;'Adj-Barrows'!$B$10,'E-Barrows'!A140," ")</f>
        <v xml:space="preserve"> </v>
      </c>
      <c r="J140" s="26" t="str">
        <f>IF('E-Barrows'!A140&lt;'Adj-Barrows'!$B$10,'E-Barrows'!J140," ")</f>
        <v xml:space="preserve"> </v>
      </c>
      <c r="K140" s="28" t="str">
        <f>IF('E-Barrows'!A140&lt;'Adj-Barrows'!$B$10,'E-Barrows'!N140," ")</f>
        <v xml:space="preserve"> </v>
      </c>
      <c r="L140" s="27" t="str">
        <f>IF('E-Barrows'!A140&lt;'Adj-Barrows'!$B$10,'E-Barrows'!K140," ")</f>
        <v xml:space="preserve"> </v>
      </c>
      <c r="M140" s="28" t="str">
        <f>IF('E-Barrows'!A140&lt;'Adj-Barrows'!$B$10,'E-Barrows'!M140," ")</f>
        <v xml:space="preserve"> </v>
      </c>
      <c r="N140" s="30" t="str">
        <f>IF('E-Barrows'!A140&lt;'Adj-Barrows'!$B$10,1/L140," ")</f>
        <v xml:space="preserve"> </v>
      </c>
      <c r="P140" s="31" t="str">
        <f t="shared" si="10"/>
        <v/>
      </c>
      <c r="Q140" s="31" t="str">
        <f t="shared" si="11"/>
        <v/>
      </c>
      <c r="R140" s="31" t="str">
        <f t="shared" si="12"/>
        <v/>
      </c>
    </row>
    <row r="141" spans="1:18" x14ac:dyDescent="0.25">
      <c r="A141" s="28" t="str">
        <f>IF('E-Barrows'!A141&lt;'Adj-Barrows'!$B$10,'E-Barrows'!B141," ")</f>
        <v xml:space="preserve"> </v>
      </c>
      <c r="B141" s="26" t="str">
        <f>IF('E-Barrows'!A141&lt;'Adj-Barrows'!$B$10,'E-Barrows'!A141," ")</f>
        <v xml:space="preserve"> </v>
      </c>
      <c r="C141" s="26" t="str">
        <f>IF('E-Barrows'!A141&lt;'Adj-Barrows'!$B$10,'E-Barrows'!C141," ")</f>
        <v xml:space="preserve"> </v>
      </c>
      <c r="D141" s="28" t="str">
        <f>IF('E-Barrows'!A141&lt;'Adj-Barrows'!$B$10,'E-Barrows'!G141," ")</f>
        <v xml:space="preserve"> </v>
      </c>
      <c r="E141" s="27" t="str">
        <f>IF('E-Barrows'!A141&lt;'Adj-Barrows'!$B$10,'E-Barrows'!D141," ")</f>
        <v xml:space="preserve"> </v>
      </c>
      <c r="F141" s="27"/>
      <c r="G141" s="92" t="str">
        <f t="shared" si="9"/>
        <v xml:space="preserve"> </v>
      </c>
      <c r="H141" s="28" t="str">
        <f>IF('E-Barrows'!A141&lt;'Adj-Barrows'!$B$10,'E-Barrows'!I141," ")</f>
        <v xml:space="preserve"> </v>
      </c>
      <c r="I141" s="24" t="str">
        <f>IF('E-Barrows'!A141&lt;'Adj-Barrows'!$B$10,'E-Barrows'!A141," ")</f>
        <v xml:space="preserve"> </v>
      </c>
      <c r="J141" s="26" t="str">
        <f>IF('E-Barrows'!A141&lt;'Adj-Barrows'!$B$10,'E-Barrows'!J141," ")</f>
        <v xml:space="preserve"> </v>
      </c>
      <c r="K141" s="28" t="str">
        <f>IF('E-Barrows'!A141&lt;'Adj-Barrows'!$B$10,'E-Barrows'!N141," ")</f>
        <v xml:space="preserve"> </v>
      </c>
      <c r="L141" s="27" t="str">
        <f>IF('E-Barrows'!A141&lt;'Adj-Barrows'!$B$10,'E-Barrows'!K141," ")</f>
        <v xml:space="preserve"> </v>
      </c>
      <c r="M141" s="28" t="str">
        <f>IF('E-Barrows'!A141&lt;'Adj-Barrows'!$B$10,'E-Barrows'!M141," ")</f>
        <v xml:space="preserve"> </v>
      </c>
      <c r="N141" s="30" t="str">
        <f>IF('E-Barrows'!A141&lt;'Adj-Barrows'!$B$10,1/L141," ")</f>
        <v xml:space="preserve"> </v>
      </c>
      <c r="P141" s="31" t="str">
        <f t="shared" si="10"/>
        <v/>
      </c>
      <c r="Q141" s="31" t="str">
        <f t="shared" si="11"/>
        <v/>
      </c>
      <c r="R141" s="31" t="str">
        <f t="shared" si="12"/>
        <v/>
      </c>
    </row>
    <row r="142" spans="1:18" x14ac:dyDescent="0.25">
      <c r="A142" s="28" t="str">
        <f>IF('E-Barrows'!A142&lt;'Adj-Barrows'!$B$10,'E-Barrows'!B142," ")</f>
        <v xml:space="preserve"> </v>
      </c>
      <c r="B142" s="26" t="str">
        <f>IF('E-Barrows'!A142&lt;'Adj-Barrows'!$B$10,'E-Barrows'!A142," ")</f>
        <v xml:space="preserve"> </v>
      </c>
      <c r="C142" s="26" t="str">
        <f>IF('E-Barrows'!A142&lt;'Adj-Barrows'!$B$10,'E-Barrows'!C142," ")</f>
        <v xml:space="preserve"> </v>
      </c>
      <c r="D142" s="28" t="str">
        <f>IF('E-Barrows'!A142&lt;'Adj-Barrows'!$B$10,'E-Barrows'!G142," ")</f>
        <v xml:space="preserve"> </v>
      </c>
      <c r="E142" s="27" t="str">
        <f>IF('E-Barrows'!A142&lt;'Adj-Barrows'!$B$10,'E-Barrows'!D142," ")</f>
        <v xml:space="preserve"> </v>
      </c>
      <c r="F142" s="27"/>
      <c r="G142" s="92" t="str">
        <f t="shared" si="9"/>
        <v xml:space="preserve"> </v>
      </c>
      <c r="H142" s="28" t="str">
        <f>IF('E-Barrows'!A142&lt;'Adj-Barrows'!$B$10,'E-Barrows'!I142," ")</f>
        <v xml:space="preserve"> </v>
      </c>
      <c r="I142" s="24" t="str">
        <f>IF('E-Barrows'!A142&lt;'Adj-Barrows'!$B$10,'E-Barrows'!A142," ")</f>
        <v xml:space="preserve"> </v>
      </c>
      <c r="J142" s="26" t="str">
        <f>IF('E-Barrows'!A142&lt;'Adj-Barrows'!$B$10,'E-Barrows'!J142," ")</f>
        <v xml:space="preserve"> </v>
      </c>
      <c r="K142" s="28" t="str">
        <f>IF('E-Barrows'!A142&lt;'Adj-Barrows'!$B$10,'E-Barrows'!N142," ")</f>
        <v xml:space="preserve"> </v>
      </c>
      <c r="L142" s="27" t="str">
        <f>IF('E-Barrows'!A142&lt;'Adj-Barrows'!$B$10,'E-Barrows'!K142," ")</f>
        <v xml:space="preserve"> </v>
      </c>
      <c r="M142" s="28" t="str">
        <f>IF('E-Barrows'!A142&lt;'Adj-Barrows'!$B$10,'E-Barrows'!M142," ")</f>
        <v xml:space="preserve"> </v>
      </c>
      <c r="N142" s="30" t="str">
        <f>IF('E-Barrows'!A142&lt;'Adj-Barrows'!$B$10,1/L142," ")</f>
        <v xml:space="preserve"> </v>
      </c>
      <c r="P142" s="31" t="str">
        <f t="shared" si="10"/>
        <v/>
      </c>
      <c r="Q142" s="31" t="str">
        <f t="shared" si="11"/>
        <v/>
      </c>
      <c r="R142" s="31" t="str">
        <f t="shared" si="12"/>
        <v/>
      </c>
    </row>
    <row r="143" spans="1:18" x14ac:dyDescent="0.25">
      <c r="A143" s="28" t="str">
        <f>IF('E-Barrows'!A143&lt;'Adj-Barrows'!$B$10,'E-Barrows'!B143," ")</f>
        <v xml:space="preserve"> </v>
      </c>
      <c r="B143" s="26" t="str">
        <f>IF('E-Barrows'!A143&lt;'Adj-Barrows'!$B$10,'E-Barrows'!A143," ")</f>
        <v xml:space="preserve"> </v>
      </c>
      <c r="C143" s="26" t="str">
        <f>IF('E-Barrows'!A143&lt;'Adj-Barrows'!$B$10,'E-Barrows'!C143," ")</f>
        <v xml:space="preserve"> </v>
      </c>
      <c r="D143" s="28" t="str">
        <f>IF('E-Barrows'!A143&lt;'Adj-Barrows'!$B$10,'E-Barrows'!G143," ")</f>
        <v xml:space="preserve"> </v>
      </c>
      <c r="E143" s="27" t="str">
        <f>IF('E-Barrows'!A143&lt;'Adj-Barrows'!$B$10,'E-Barrows'!D143," ")</f>
        <v xml:space="preserve"> </v>
      </c>
      <c r="F143" s="27"/>
      <c r="G143" s="92" t="str">
        <f t="shared" si="9"/>
        <v xml:space="preserve"> </v>
      </c>
      <c r="H143" s="28" t="str">
        <f>IF('E-Barrows'!A143&lt;'Adj-Barrows'!$B$10,'E-Barrows'!I143," ")</f>
        <v xml:space="preserve"> </v>
      </c>
      <c r="I143" s="24" t="str">
        <f>IF('E-Barrows'!A143&lt;'Adj-Barrows'!$B$10,'E-Barrows'!A143," ")</f>
        <v xml:space="preserve"> </v>
      </c>
      <c r="J143" s="26" t="str">
        <f>IF('E-Barrows'!A143&lt;'Adj-Barrows'!$B$10,'E-Barrows'!J143," ")</f>
        <v xml:space="preserve"> </v>
      </c>
      <c r="K143" s="28" t="str">
        <f>IF('E-Barrows'!A143&lt;'Adj-Barrows'!$B$10,'E-Barrows'!N143," ")</f>
        <v xml:space="preserve"> </v>
      </c>
      <c r="L143" s="27" t="str">
        <f>IF('E-Barrows'!A143&lt;'Adj-Barrows'!$B$10,'E-Barrows'!K143," ")</f>
        <v xml:space="preserve"> </v>
      </c>
      <c r="M143" s="28" t="str">
        <f>IF('E-Barrows'!A143&lt;'Adj-Barrows'!$B$10,'E-Barrows'!M143," ")</f>
        <v xml:space="preserve"> </v>
      </c>
      <c r="N143" s="30" t="str">
        <f>IF('E-Barrows'!A143&lt;'Adj-Barrows'!$B$10,1/L143," ")</f>
        <v xml:space="preserve"> </v>
      </c>
      <c r="P143" s="31" t="str">
        <f t="shared" si="10"/>
        <v/>
      </c>
      <c r="Q143" s="31" t="str">
        <f t="shared" si="11"/>
        <v/>
      </c>
      <c r="R143" s="31" t="str">
        <f t="shared" si="12"/>
        <v/>
      </c>
    </row>
    <row r="144" spans="1:18" x14ac:dyDescent="0.25">
      <c r="A144" s="28" t="str">
        <f>IF('E-Barrows'!A144&lt;'Adj-Barrows'!$B$10,'E-Barrows'!B144," ")</f>
        <v xml:space="preserve"> </v>
      </c>
      <c r="B144" s="26" t="str">
        <f>IF('E-Barrows'!A144&lt;'Adj-Barrows'!$B$10,'E-Barrows'!A144," ")</f>
        <v xml:space="preserve"> </v>
      </c>
      <c r="C144" s="26" t="str">
        <f>IF('E-Barrows'!A144&lt;'Adj-Barrows'!$B$10,'E-Barrows'!C144," ")</f>
        <v xml:space="preserve"> </v>
      </c>
      <c r="D144" s="28" t="str">
        <f>IF('E-Barrows'!A144&lt;'Adj-Barrows'!$B$10,'E-Barrows'!G144," ")</f>
        <v xml:space="preserve"> </v>
      </c>
      <c r="E144" s="27" t="str">
        <f>IF('E-Barrows'!A144&lt;'Adj-Barrows'!$B$10,'E-Barrows'!D144," ")</f>
        <v xml:space="preserve"> </v>
      </c>
      <c r="F144" s="27"/>
      <c r="G144" s="92" t="str">
        <f t="shared" si="9"/>
        <v xml:space="preserve"> </v>
      </c>
      <c r="H144" s="28" t="str">
        <f>IF('E-Barrows'!A144&lt;'Adj-Barrows'!$B$10,'E-Barrows'!I144," ")</f>
        <v xml:space="preserve"> </v>
      </c>
      <c r="I144" s="24" t="str">
        <f>IF('E-Barrows'!A144&lt;'Adj-Barrows'!$B$10,'E-Barrows'!A144," ")</f>
        <v xml:space="preserve"> </v>
      </c>
      <c r="J144" s="26" t="str">
        <f>IF('E-Barrows'!A144&lt;'Adj-Barrows'!$B$10,'E-Barrows'!J144," ")</f>
        <v xml:space="preserve"> </v>
      </c>
      <c r="K144" s="28" t="str">
        <f>IF('E-Barrows'!A144&lt;'Adj-Barrows'!$B$10,'E-Barrows'!N144," ")</f>
        <v xml:space="preserve"> </v>
      </c>
      <c r="L144" s="27" t="str">
        <f>IF('E-Barrows'!A144&lt;'Adj-Barrows'!$B$10,'E-Barrows'!K144," ")</f>
        <v xml:space="preserve"> </v>
      </c>
      <c r="M144" s="28" t="str">
        <f>IF('E-Barrows'!A144&lt;'Adj-Barrows'!$B$10,'E-Barrows'!M144," ")</f>
        <v xml:space="preserve"> </v>
      </c>
      <c r="N144" s="30" t="str">
        <f>IF('E-Barrows'!A144&lt;'Adj-Barrows'!$B$10,1/L144," ")</f>
        <v xml:space="preserve"> </v>
      </c>
      <c r="P144" s="31" t="str">
        <f t="shared" si="10"/>
        <v/>
      </c>
      <c r="Q144" s="31" t="str">
        <f t="shared" si="11"/>
        <v/>
      </c>
      <c r="R144" s="31" t="str">
        <f t="shared" si="12"/>
        <v/>
      </c>
    </row>
    <row r="145" spans="1:18" x14ac:dyDescent="0.25">
      <c r="A145" s="28" t="str">
        <f>IF('E-Barrows'!A145&lt;'Adj-Barrows'!$B$10,'E-Barrows'!B145," ")</f>
        <v xml:space="preserve"> </v>
      </c>
      <c r="B145" s="26" t="str">
        <f>IF('E-Barrows'!A145&lt;'Adj-Barrows'!$B$10,'E-Barrows'!A145," ")</f>
        <v xml:space="preserve"> </v>
      </c>
      <c r="C145" s="26" t="str">
        <f>IF('E-Barrows'!A145&lt;'Adj-Barrows'!$B$10,'E-Barrows'!C145," ")</f>
        <v xml:space="preserve"> </v>
      </c>
      <c r="D145" s="28" t="str">
        <f>IF('E-Barrows'!A145&lt;'Adj-Barrows'!$B$10,'E-Barrows'!G145," ")</f>
        <v xml:space="preserve"> </v>
      </c>
      <c r="E145" s="27" t="str">
        <f>IF('E-Barrows'!A145&lt;'Adj-Barrows'!$B$10,'E-Barrows'!D145," ")</f>
        <v xml:space="preserve"> </v>
      </c>
      <c r="F145" s="27"/>
      <c r="G145" s="92" t="str">
        <f t="shared" si="9"/>
        <v xml:space="preserve"> </v>
      </c>
      <c r="H145" s="28" t="str">
        <f>IF('E-Barrows'!A145&lt;'Adj-Barrows'!$B$10,'E-Barrows'!I145," ")</f>
        <v xml:space="preserve"> </v>
      </c>
      <c r="I145" s="24" t="str">
        <f>IF('E-Barrows'!A145&lt;'Adj-Barrows'!$B$10,'E-Barrows'!A145," ")</f>
        <v xml:space="preserve"> </v>
      </c>
      <c r="J145" s="26" t="str">
        <f>IF('E-Barrows'!A145&lt;'Adj-Barrows'!$B$10,'E-Barrows'!J145," ")</f>
        <v xml:space="preserve"> </v>
      </c>
      <c r="K145" s="28" t="str">
        <f>IF('E-Barrows'!A145&lt;'Adj-Barrows'!$B$10,'E-Barrows'!N145," ")</f>
        <v xml:space="preserve"> </v>
      </c>
      <c r="L145" s="27" t="str">
        <f>IF('E-Barrows'!A145&lt;'Adj-Barrows'!$B$10,'E-Barrows'!K145," ")</f>
        <v xml:space="preserve"> </v>
      </c>
      <c r="M145" s="28" t="str">
        <f>IF('E-Barrows'!A145&lt;'Adj-Barrows'!$B$10,'E-Barrows'!M145," ")</f>
        <v xml:space="preserve"> </v>
      </c>
      <c r="N145" s="30" t="str">
        <f>IF('E-Barrows'!A145&lt;'Adj-Barrows'!$B$10,1/L145," ")</f>
        <v xml:space="preserve"> </v>
      </c>
      <c r="P145" s="31" t="str">
        <f t="shared" si="10"/>
        <v/>
      </c>
      <c r="Q145" s="31" t="str">
        <f t="shared" si="11"/>
        <v/>
      </c>
      <c r="R145" s="31" t="str">
        <f t="shared" si="12"/>
        <v/>
      </c>
    </row>
    <row r="146" spans="1:18" x14ac:dyDescent="0.25">
      <c r="A146" s="28" t="str">
        <f>IF('E-Barrows'!A146&lt;'Adj-Barrows'!$B$10,'E-Barrows'!B146," ")</f>
        <v xml:space="preserve"> </v>
      </c>
      <c r="B146" s="26" t="str">
        <f>IF('E-Barrows'!A146&lt;'Adj-Barrows'!$B$10,'E-Barrows'!A146," ")</f>
        <v xml:space="preserve"> </v>
      </c>
      <c r="C146" s="26" t="str">
        <f>IF('E-Barrows'!A146&lt;'Adj-Barrows'!$B$10,'E-Barrows'!C146," ")</f>
        <v xml:space="preserve"> </v>
      </c>
      <c r="D146" s="28" t="str">
        <f>IF('E-Barrows'!A146&lt;'Adj-Barrows'!$B$10,'E-Barrows'!G146," ")</f>
        <v xml:space="preserve"> </v>
      </c>
      <c r="E146" s="27" t="str">
        <f>IF('E-Barrows'!A146&lt;'Adj-Barrows'!$B$10,'E-Barrows'!D146," ")</f>
        <v xml:space="preserve"> </v>
      </c>
      <c r="F146" s="27"/>
      <c r="G146" s="92" t="str">
        <f t="shared" si="9"/>
        <v xml:space="preserve"> </v>
      </c>
      <c r="H146" s="28" t="str">
        <f>IF('E-Barrows'!A146&lt;'Adj-Barrows'!$B$10,'E-Barrows'!I146," ")</f>
        <v xml:space="preserve"> </v>
      </c>
      <c r="I146" s="24" t="str">
        <f>IF('E-Barrows'!A146&lt;'Adj-Barrows'!$B$10,'E-Barrows'!A146," ")</f>
        <v xml:space="preserve"> </v>
      </c>
      <c r="J146" s="26" t="str">
        <f>IF('E-Barrows'!A146&lt;'Adj-Barrows'!$B$10,'E-Barrows'!J146," ")</f>
        <v xml:space="preserve"> </v>
      </c>
      <c r="K146" s="28" t="str">
        <f>IF('E-Barrows'!A146&lt;'Adj-Barrows'!$B$10,'E-Barrows'!N146," ")</f>
        <v xml:space="preserve"> </v>
      </c>
      <c r="L146" s="27" t="str">
        <f>IF('E-Barrows'!A146&lt;'Adj-Barrows'!$B$10,'E-Barrows'!K146," ")</f>
        <v xml:space="preserve"> </v>
      </c>
      <c r="M146" s="28" t="str">
        <f>IF('E-Barrows'!A146&lt;'Adj-Barrows'!$B$10,'E-Barrows'!M146," ")</f>
        <v xml:space="preserve"> </v>
      </c>
      <c r="N146" s="30" t="str">
        <f>IF('E-Barrows'!A146&lt;'Adj-Barrows'!$B$10,1/L146," ")</f>
        <v xml:space="preserve"> </v>
      </c>
      <c r="P146" s="31" t="str">
        <f t="shared" si="10"/>
        <v/>
      </c>
      <c r="Q146" s="31" t="str">
        <f t="shared" si="11"/>
        <v/>
      </c>
      <c r="R146" s="31" t="str">
        <f t="shared" si="12"/>
        <v/>
      </c>
    </row>
    <row r="147" spans="1:18" x14ac:dyDescent="0.25">
      <c r="A147" s="28" t="str">
        <f>IF('E-Barrows'!A147&lt;'Adj-Barrows'!$B$10,'E-Barrows'!B147," ")</f>
        <v xml:space="preserve"> </v>
      </c>
      <c r="B147" s="26" t="str">
        <f>IF('E-Barrows'!A147&lt;'Adj-Barrows'!$B$10,'E-Barrows'!A147," ")</f>
        <v xml:space="preserve"> </v>
      </c>
      <c r="C147" s="26" t="str">
        <f>IF('E-Barrows'!A147&lt;'Adj-Barrows'!$B$10,'E-Barrows'!C147," ")</f>
        <v xml:space="preserve"> </v>
      </c>
      <c r="D147" s="28" t="str">
        <f>IF('E-Barrows'!A147&lt;'Adj-Barrows'!$B$10,'E-Barrows'!G147," ")</f>
        <v xml:space="preserve"> </v>
      </c>
      <c r="E147" s="27" t="str">
        <f>IF('E-Barrows'!A147&lt;'Adj-Barrows'!$B$10,'E-Barrows'!D147," ")</f>
        <v xml:space="preserve"> </v>
      </c>
      <c r="F147" s="27"/>
      <c r="G147" s="92" t="str">
        <f t="shared" si="9"/>
        <v xml:space="preserve"> </v>
      </c>
      <c r="H147" s="28" t="str">
        <f>IF('E-Barrows'!A147&lt;'Adj-Barrows'!$B$10,'E-Barrows'!I147," ")</f>
        <v xml:space="preserve"> </v>
      </c>
      <c r="I147" s="24" t="str">
        <f>IF('E-Barrows'!A147&lt;'Adj-Barrows'!$B$10,'E-Barrows'!A147," ")</f>
        <v xml:space="preserve"> </v>
      </c>
      <c r="J147" s="26" t="str">
        <f>IF('E-Barrows'!A147&lt;'Adj-Barrows'!$B$10,'E-Barrows'!J147," ")</f>
        <v xml:space="preserve"> </v>
      </c>
      <c r="K147" s="28" t="str">
        <f>IF('E-Barrows'!A147&lt;'Adj-Barrows'!$B$10,'E-Barrows'!N147," ")</f>
        <v xml:space="preserve"> </v>
      </c>
      <c r="L147" s="27" t="str">
        <f>IF('E-Barrows'!A147&lt;'Adj-Barrows'!$B$10,'E-Barrows'!K147," ")</f>
        <v xml:space="preserve"> </v>
      </c>
      <c r="M147" s="28" t="str">
        <f>IF('E-Barrows'!A147&lt;'Adj-Barrows'!$B$10,'E-Barrows'!M147," ")</f>
        <v xml:space="preserve"> </v>
      </c>
      <c r="N147" s="30" t="str">
        <f>IF('E-Barrows'!A147&lt;'Adj-Barrows'!$B$10,1/L147," ")</f>
        <v xml:space="preserve"> </v>
      </c>
      <c r="P147" s="31" t="str">
        <f t="shared" si="10"/>
        <v/>
      </c>
      <c r="Q147" s="31" t="str">
        <f t="shared" si="11"/>
        <v/>
      </c>
      <c r="R147" s="31" t="str">
        <f t="shared" si="12"/>
        <v/>
      </c>
    </row>
    <row r="148" spans="1:18" x14ac:dyDescent="0.25">
      <c r="A148" s="28" t="str">
        <f>IF('E-Barrows'!A148&lt;'Adj-Barrows'!$B$10,'E-Barrows'!B148," ")</f>
        <v xml:space="preserve"> </v>
      </c>
      <c r="B148" s="26" t="str">
        <f>IF('E-Barrows'!A148&lt;'Adj-Barrows'!$B$10,'E-Barrows'!A148," ")</f>
        <v xml:space="preserve"> </v>
      </c>
      <c r="C148" s="26" t="str">
        <f>IF('E-Barrows'!A148&lt;'Adj-Barrows'!$B$10,'E-Barrows'!C148," ")</f>
        <v xml:space="preserve"> </v>
      </c>
      <c r="D148" s="28" t="str">
        <f>IF('E-Barrows'!A148&lt;'Adj-Barrows'!$B$10,'E-Barrows'!G148," ")</f>
        <v xml:space="preserve"> </v>
      </c>
      <c r="E148" s="27" t="str">
        <f>IF('E-Barrows'!A148&lt;'Adj-Barrows'!$B$10,'E-Barrows'!D148," ")</f>
        <v xml:space="preserve"> </v>
      </c>
      <c r="F148" s="27"/>
      <c r="G148" s="92" t="str">
        <f t="shared" si="9"/>
        <v xml:space="preserve"> </v>
      </c>
      <c r="H148" s="28" t="str">
        <f>IF('E-Barrows'!A148&lt;'Adj-Barrows'!$B$10,'E-Barrows'!I148," ")</f>
        <v xml:space="preserve"> </v>
      </c>
      <c r="I148" s="24" t="str">
        <f>IF('E-Barrows'!A148&lt;'Adj-Barrows'!$B$10,'E-Barrows'!A148," ")</f>
        <v xml:space="preserve"> </v>
      </c>
      <c r="J148" s="26" t="str">
        <f>IF('E-Barrows'!A148&lt;'Adj-Barrows'!$B$10,'E-Barrows'!J148," ")</f>
        <v xml:space="preserve"> </v>
      </c>
      <c r="K148" s="28" t="str">
        <f>IF('E-Barrows'!A148&lt;'Adj-Barrows'!$B$10,'E-Barrows'!N148," ")</f>
        <v xml:space="preserve"> </v>
      </c>
      <c r="L148" s="27" t="str">
        <f>IF('E-Barrows'!A148&lt;'Adj-Barrows'!$B$10,'E-Barrows'!K148," ")</f>
        <v xml:space="preserve"> </v>
      </c>
      <c r="M148" s="28" t="str">
        <f>IF('E-Barrows'!A148&lt;'Adj-Barrows'!$B$10,'E-Barrows'!M148," ")</f>
        <v xml:space="preserve"> </v>
      </c>
      <c r="N148" s="30" t="str">
        <f>IF('E-Barrows'!A148&lt;'Adj-Barrows'!$B$10,1/L148," ")</f>
        <v xml:space="preserve"> </v>
      </c>
      <c r="P148" s="31" t="str">
        <f t="shared" si="10"/>
        <v/>
      </c>
      <c r="Q148" s="31" t="str">
        <f t="shared" si="11"/>
        <v/>
      </c>
      <c r="R148" s="31" t="str">
        <f t="shared" si="12"/>
        <v/>
      </c>
    </row>
    <row r="149" spans="1:18" x14ac:dyDescent="0.25">
      <c r="A149" s="28" t="str">
        <f>IF('E-Barrows'!A149&lt;'Adj-Barrows'!$B$10,'E-Barrows'!B149," ")</f>
        <v xml:space="preserve"> </v>
      </c>
      <c r="B149" s="26" t="str">
        <f>IF('E-Barrows'!A149&lt;'Adj-Barrows'!$B$10,'E-Barrows'!A149," ")</f>
        <v xml:space="preserve"> </v>
      </c>
      <c r="C149" s="26" t="str">
        <f>IF('E-Barrows'!A149&lt;'Adj-Barrows'!$B$10,'E-Barrows'!C149," ")</f>
        <v xml:space="preserve"> </v>
      </c>
      <c r="D149" s="28" t="str">
        <f>IF('E-Barrows'!A149&lt;'Adj-Barrows'!$B$10,'E-Barrows'!G149," ")</f>
        <v xml:space="preserve"> </v>
      </c>
      <c r="E149" s="27" t="str">
        <f>IF('E-Barrows'!A149&lt;'Adj-Barrows'!$B$10,'E-Barrows'!D149," ")</f>
        <v xml:space="preserve"> </v>
      </c>
      <c r="F149" s="27"/>
      <c r="G149" s="92" t="str">
        <f t="shared" si="9"/>
        <v xml:space="preserve"> </v>
      </c>
      <c r="H149" s="28" t="str">
        <f>IF('E-Barrows'!A149&lt;'Adj-Barrows'!$B$10,'E-Barrows'!I149," ")</f>
        <v xml:space="preserve"> </v>
      </c>
      <c r="I149" s="24" t="str">
        <f>IF('E-Barrows'!A149&lt;'Adj-Barrows'!$B$10,'E-Barrows'!A149," ")</f>
        <v xml:space="preserve"> </v>
      </c>
      <c r="J149" s="26" t="str">
        <f>IF('E-Barrows'!A149&lt;'Adj-Barrows'!$B$10,'E-Barrows'!J149," ")</f>
        <v xml:space="preserve"> </v>
      </c>
      <c r="K149" s="28" t="str">
        <f>IF('E-Barrows'!A149&lt;'Adj-Barrows'!$B$10,'E-Barrows'!N149," ")</f>
        <v xml:space="preserve"> </v>
      </c>
      <c r="L149" s="27" t="str">
        <f>IF('E-Barrows'!A149&lt;'Adj-Barrows'!$B$10,'E-Barrows'!K149," ")</f>
        <v xml:space="preserve"> </v>
      </c>
      <c r="M149" s="28" t="str">
        <f>IF('E-Barrows'!A149&lt;'Adj-Barrows'!$B$10,'E-Barrows'!M149," ")</f>
        <v xml:space="preserve"> </v>
      </c>
      <c r="N149" s="30" t="str">
        <f>IF('E-Barrows'!A149&lt;'Adj-Barrows'!$B$10,1/L149," ")</f>
        <v xml:space="preserve"> </v>
      </c>
      <c r="P149" s="31" t="str">
        <f t="shared" si="10"/>
        <v/>
      </c>
      <c r="Q149" s="31" t="str">
        <f t="shared" si="11"/>
        <v/>
      </c>
      <c r="R149" s="31" t="str">
        <f t="shared" si="12"/>
        <v/>
      </c>
    </row>
    <row r="150" spans="1:18" x14ac:dyDescent="0.25">
      <c r="A150" s="28" t="str">
        <f>IF('E-Barrows'!A150&lt;'Adj-Barrows'!$B$10,'E-Barrows'!B150," ")</f>
        <v xml:space="preserve"> </v>
      </c>
      <c r="B150" s="26" t="str">
        <f>IF('E-Barrows'!A150&lt;'Adj-Barrows'!$B$10,'E-Barrows'!A150," ")</f>
        <v xml:space="preserve"> </v>
      </c>
      <c r="C150" s="26" t="str">
        <f>IF('E-Barrows'!A150&lt;'Adj-Barrows'!$B$10,'E-Barrows'!C150," ")</f>
        <v xml:space="preserve"> </v>
      </c>
      <c r="D150" s="28" t="str">
        <f>IF('E-Barrows'!A150&lt;'Adj-Barrows'!$B$10,'E-Barrows'!G150," ")</f>
        <v xml:space="preserve"> </v>
      </c>
      <c r="E150" s="27" t="str">
        <f>IF('E-Barrows'!A150&lt;'Adj-Barrows'!$B$10,'E-Barrows'!D150," ")</f>
        <v xml:space="preserve"> </v>
      </c>
      <c r="F150" s="27"/>
      <c r="G150" s="92" t="str">
        <f t="shared" si="9"/>
        <v xml:space="preserve"> </v>
      </c>
      <c r="H150" s="28" t="str">
        <f>IF('E-Barrows'!A150&lt;'Adj-Barrows'!$B$10,'E-Barrows'!I150," ")</f>
        <v xml:space="preserve"> </v>
      </c>
      <c r="I150" s="24" t="str">
        <f>IF('E-Barrows'!A150&lt;'Adj-Barrows'!$B$10,'E-Barrows'!A150," ")</f>
        <v xml:space="preserve"> </v>
      </c>
      <c r="J150" s="26" t="str">
        <f>IF('E-Barrows'!A150&lt;'Adj-Barrows'!$B$10,'E-Barrows'!J150," ")</f>
        <v xml:space="preserve"> </v>
      </c>
      <c r="K150" s="28" t="str">
        <f>IF('E-Barrows'!A150&lt;'Adj-Barrows'!$B$10,'E-Barrows'!N150," ")</f>
        <v xml:space="preserve"> </v>
      </c>
      <c r="L150" s="27" t="str">
        <f>IF('E-Barrows'!A150&lt;'Adj-Barrows'!$B$10,'E-Barrows'!K150," ")</f>
        <v xml:space="preserve"> </v>
      </c>
      <c r="M150" s="28" t="str">
        <f>IF('E-Barrows'!A150&lt;'Adj-Barrows'!$B$10,'E-Barrows'!M150," ")</f>
        <v xml:space="preserve"> </v>
      </c>
      <c r="N150" s="30" t="str">
        <f>IF('E-Barrows'!A150&lt;'Adj-Barrows'!$B$10,1/L150," ")</f>
        <v xml:space="preserve"> </v>
      </c>
      <c r="P150" s="31" t="str">
        <f t="shared" si="10"/>
        <v/>
      </c>
      <c r="Q150" s="31" t="str">
        <f t="shared" si="11"/>
        <v/>
      </c>
      <c r="R150" s="31" t="str">
        <f t="shared" si="12"/>
        <v/>
      </c>
    </row>
    <row r="151" spans="1:18" x14ac:dyDescent="0.25">
      <c r="A151" s="28" t="str">
        <f>IF('E-Barrows'!A151&lt;'Adj-Barrows'!$B$10,'E-Barrows'!B151," ")</f>
        <v xml:space="preserve"> </v>
      </c>
      <c r="B151" s="26" t="str">
        <f>IF('E-Barrows'!A151&lt;'Adj-Barrows'!$B$10,'E-Barrows'!A151," ")</f>
        <v xml:space="preserve"> </v>
      </c>
      <c r="C151" s="26" t="str">
        <f>IF('E-Barrows'!A151&lt;'Adj-Barrows'!$B$10,'E-Barrows'!C151," ")</f>
        <v xml:space="preserve"> </v>
      </c>
      <c r="D151" s="28" t="str">
        <f>IF('E-Barrows'!A151&lt;'Adj-Barrows'!$B$10,'E-Barrows'!G151," ")</f>
        <v xml:space="preserve"> </v>
      </c>
      <c r="E151" s="27" t="str">
        <f>IF('E-Barrows'!A151&lt;'Adj-Barrows'!$B$10,'E-Barrows'!D151," ")</f>
        <v xml:space="preserve"> </v>
      </c>
      <c r="F151" s="27"/>
      <c r="G151" s="92" t="str">
        <f t="shared" si="9"/>
        <v xml:space="preserve"> </v>
      </c>
      <c r="H151" s="28" t="str">
        <f>IF('E-Barrows'!A151&lt;'Adj-Barrows'!$B$10,'E-Barrows'!I151," ")</f>
        <v xml:space="preserve"> </v>
      </c>
      <c r="I151" s="24" t="str">
        <f>IF('E-Barrows'!A151&lt;'Adj-Barrows'!$B$10,'E-Barrows'!A151," ")</f>
        <v xml:space="preserve"> </v>
      </c>
      <c r="J151" s="26" t="str">
        <f>IF('E-Barrows'!A151&lt;'Adj-Barrows'!$B$10,'E-Barrows'!J151," ")</f>
        <v xml:space="preserve"> </v>
      </c>
      <c r="K151" s="28" t="str">
        <f>IF('E-Barrows'!A151&lt;'Adj-Barrows'!$B$10,'E-Barrows'!N151," ")</f>
        <v xml:space="preserve"> </v>
      </c>
      <c r="L151" s="27" t="str">
        <f>IF('E-Barrows'!A151&lt;'Adj-Barrows'!$B$10,'E-Barrows'!K151," ")</f>
        <v xml:space="preserve"> </v>
      </c>
      <c r="M151" s="28" t="str">
        <f>IF('E-Barrows'!A151&lt;'Adj-Barrows'!$B$10,'E-Barrows'!M151," ")</f>
        <v xml:space="preserve"> </v>
      </c>
      <c r="N151" s="30" t="str">
        <f>IF('E-Barrows'!A151&lt;'Adj-Barrows'!$B$10,1/L151," ")</f>
        <v xml:space="preserve"> </v>
      </c>
      <c r="P151" s="31" t="str">
        <f t="shared" si="10"/>
        <v/>
      </c>
      <c r="Q151" s="31" t="str">
        <f t="shared" si="11"/>
        <v/>
      </c>
      <c r="R151" s="31" t="str">
        <f t="shared" si="12"/>
        <v/>
      </c>
    </row>
    <row r="152" spans="1:18" x14ac:dyDescent="0.25">
      <c r="A152" s="28" t="str">
        <f>IF('E-Barrows'!A152&lt;'Adj-Barrows'!$B$10,'E-Barrows'!B152," ")</f>
        <v xml:space="preserve"> </v>
      </c>
      <c r="B152" s="26" t="str">
        <f>IF('E-Barrows'!A152&lt;'Adj-Barrows'!$B$10,'E-Barrows'!A152," ")</f>
        <v xml:space="preserve"> </v>
      </c>
      <c r="C152" s="26" t="str">
        <f>IF('E-Barrows'!A152&lt;'Adj-Barrows'!$B$10,'E-Barrows'!C152," ")</f>
        <v xml:space="preserve"> </v>
      </c>
      <c r="D152" s="28" t="str">
        <f>IF('E-Barrows'!A152&lt;'Adj-Barrows'!$B$10,'E-Barrows'!G152," ")</f>
        <v xml:space="preserve"> </v>
      </c>
      <c r="E152" s="27" t="str">
        <f>IF('E-Barrows'!A152&lt;'Adj-Barrows'!$B$10,'E-Barrows'!D152," ")</f>
        <v xml:space="preserve"> </v>
      </c>
      <c r="F152" s="27"/>
      <c r="G152" s="92" t="str">
        <f t="shared" si="9"/>
        <v xml:space="preserve"> </v>
      </c>
      <c r="H152" s="28" t="str">
        <f>IF('E-Barrows'!A152&lt;'Adj-Barrows'!$B$10,'E-Barrows'!I152," ")</f>
        <v xml:space="preserve"> </v>
      </c>
      <c r="I152" s="24" t="str">
        <f>IF('E-Barrows'!A152&lt;'Adj-Barrows'!$B$10,'E-Barrows'!A152," ")</f>
        <v xml:space="preserve"> </v>
      </c>
      <c r="J152" s="26" t="str">
        <f>IF('E-Barrows'!A152&lt;'Adj-Barrows'!$B$10,'E-Barrows'!J152," ")</f>
        <v xml:space="preserve"> </v>
      </c>
      <c r="K152" s="28" t="str">
        <f>IF('E-Barrows'!A152&lt;'Adj-Barrows'!$B$10,'E-Barrows'!N152," ")</f>
        <v xml:space="preserve"> </v>
      </c>
      <c r="L152" s="27" t="str">
        <f>IF('E-Barrows'!A152&lt;'Adj-Barrows'!$B$10,'E-Barrows'!K152," ")</f>
        <v xml:space="preserve"> </v>
      </c>
      <c r="M152" s="28" t="str">
        <f>IF('E-Barrows'!A152&lt;'Adj-Barrows'!$B$10,'E-Barrows'!M152," ")</f>
        <v xml:space="preserve"> </v>
      </c>
      <c r="N152" s="30" t="str">
        <f>IF('E-Barrows'!A152&lt;'Adj-Barrows'!$B$10,1/L152," ")</f>
        <v xml:space="preserve"> </v>
      </c>
      <c r="P152" s="31" t="str">
        <f t="shared" si="10"/>
        <v/>
      </c>
      <c r="Q152" s="31" t="str">
        <f t="shared" si="11"/>
        <v/>
      </c>
      <c r="R152" s="31" t="str">
        <f t="shared" si="12"/>
        <v/>
      </c>
    </row>
    <row r="153" spans="1:18" x14ac:dyDescent="0.25">
      <c r="A153" s="28" t="str">
        <f>IF('E-Barrows'!A153&lt;'Adj-Barrows'!$B$10,'E-Barrows'!B153," ")</f>
        <v xml:space="preserve"> </v>
      </c>
      <c r="B153" s="26" t="str">
        <f>IF('E-Barrows'!A153&lt;'Adj-Barrows'!$B$10,'E-Barrows'!A153," ")</f>
        <v xml:space="preserve"> </v>
      </c>
      <c r="C153" s="26" t="str">
        <f>IF('E-Barrows'!A153&lt;'Adj-Barrows'!$B$10,'E-Barrows'!C153," ")</f>
        <v xml:space="preserve"> </v>
      </c>
      <c r="D153" s="28" t="str">
        <f>IF('E-Barrows'!A153&lt;'Adj-Barrows'!$B$10,'E-Barrows'!G153," ")</f>
        <v xml:space="preserve"> </v>
      </c>
      <c r="E153" s="27" t="str">
        <f>IF('E-Barrows'!A153&lt;'Adj-Barrows'!$B$10,'E-Barrows'!D153," ")</f>
        <v xml:space="preserve"> </v>
      </c>
      <c r="F153" s="27"/>
      <c r="G153" s="92" t="str">
        <f t="shared" si="9"/>
        <v xml:space="preserve"> </v>
      </c>
      <c r="H153" s="28" t="str">
        <f>IF('E-Barrows'!A153&lt;'Adj-Barrows'!$B$10,'E-Barrows'!I153," ")</f>
        <v xml:space="preserve"> </v>
      </c>
      <c r="I153" s="24" t="str">
        <f>IF('E-Barrows'!A153&lt;'Adj-Barrows'!$B$10,'E-Barrows'!A153," ")</f>
        <v xml:space="preserve"> </v>
      </c>
      <c r="J153" s="26" t="str">
        <f>IF('E-Barrows'!A153&lt;'Adj-Barrows'!$B$10,'E-Barrows'!J153," ")</f>
        <v xml:space="preserve"> </v>
      </c>
      <c r="K153" s="28" t="str">
        <f>IF('E-Barrows'!A153&lt;'Adj-Barrows'!$B$10,'E-Barrows'!N153," ")</f>
        <v xml:space="preserve"> </v>
      </c>
      <c r="L153" s="27" t="str">
        <f>IF('E-Barrows'!A153&lt;'Adj-Barrows'!$B$10,'E-Barrows'!K153," ")</f>
        <v xml:space="preserve"> </v>
      </c>
      <c r="M153" s="28" t="str">
        <f>IF('E-Barrows'!A153&lt;'Adj-Barrows'!$B$10,'E-Barrows'!M153," ")</f>
        <v xml:space="preserve"> </v>
      </c>
      <c r="N153" s="30" t="str">
        <f>IF('E-Barrows'!A153&lt;'Adj-Barrows'!$B$10,1/L153," ")</f>
        <v xml:space="preserve"> </v>
      </c>
      <c r="P153" s="31" t="str">
        <f t="shared" si="10"/>
        <v/>
      </c>
      <c r="Q153" s="31" t="str">
        <f t="shared" si="11"/>
        <v/>
      </c>
      <c r="R153" s="31" t="str">
        <f t="shared" si="12"/>
        <v/>
      </c>
    </row>
    <row r="154" spans="1:18" x14ac:dyDescent="0.25">
      <c r="A154" s="28" t="str">
        <f>IF('E-Barrows'!A154&lt;'Adj-Barrows'!$B$10,'E-Barrows'!B154," ")</f>
        <v xml:space="preserve"> </v>
      </c>
      <c r="B154" s="26" t="str">
        <f>IF('E-Barrows'!A154&lt;'Adj-Barrows'!$B$10,'E-Barrows'!A154," ")</f>
        <v xml:space="preserve"> </v>
      </c>
      <c r="C154" s="26" t="str">
        <f>IF('E-Barrows'!A154&lt;'Adj-Barrows'!$B$10,'E-Barrows'!C154," ")</f>
        <v xml:space="preserve"> </v>
      </c>
      <c r="D154" s="28" t="str">
        <f>IF('E-Barrows'!A154&lt;'Adj-Barrows'!$B$10,'E-Barrows'!G154," ")</f>
        <v xml:space="preserve"> </v>
      </c>
      <c r="E154" s="27" t="str">
        <f>IF('E-Barrows'!A154&lt;'Adj-Barrows'!$B$10,'E-Barrows'!D154," ")</f>
        <v xml:space="preserve"> </v>
      </c>
      <c r="F154" s="27"/>
      <c r="G154" s="92" t="str">
        <f t="shared" si="9"/>
        <v xml:space="preserve"> </v>
      </c>
      <c r="H154" s="28" t="str">
        <f>IF('E-Barrows'!A154&lt;'Adj-Barrows'!$B$10,'E-Barrows'!I154," ")</f>
        <v xml:space="preserve"> </v>
      </c>
      <c r="I154" s="24" t="str">
        <f>IF('E-Barrows'!A154&lt;'Adj-Barrows'!$B$10,'E-Barrows'!A154," ")</f>
        <v xml:space="preserve"> </v>
      </c>
      <c r="J154" s="26" t="str">
        <f>IF('E-Barrows'!A154&lt;'Adj-Barrows'!$B$10,'E-Barrows'!J154," ")</f>
        <v xml:space="preserve"> </v>
      </c>
      <c r="K154" s="28" t="str">
        <f>IF('E-Barrows'!A154&lt;'Adj-Barrows'!$B$10,'E-Barrows'!N154," ")</f>
        <v xml:space="preserve"> </v>
      </c>
      <c r="L154" s="27" t="str">
        <f>IF('E-Barrows'!A154&lt;'Adj-Barrows'!$B$10,'E-Barrows'!K154," ")</f>
        <v xml:space="preserve"> </v>
      </c>
      <c r="M154" s="28" t="str">
        <f>IF('E-Barrows'!A154&lt;'Adj-Barrows'!$B$10,'E-Barrows'!M154," ")</f>
        <v xml:space="preserve"> </v>
      </c>
      <c r="N154" s="30" t="str">
        <f>IF('E-Barrows'!A154&lt;'Adj-Barrows'!$B$10,1/L154," ")</f>
        <v xml:space="preserve"> </v>
      </c>
      <c r="P154" s="31" t="str">
        <f t="shared" si="10"/>
        <v/>
      </c>
      <c r="Q154" s="31" t="str">
        <f t="shared" si="11"/>
        <v/>
      </c>
      <c r="R154" s="31" t="str">
        <f t="shared" si="12"/>
        <v/>
      </c>
    </row>
    <row r="155" spans="1:18" x14ac:dyDescent="0.25">
      <c r="A155" s="28" t="str">
        <f>IF('E-Barrows'!A155&lt;'Adj-Barrows'!$B$10,'E-Barrows'!B155," ")</f>
        <v xml:space="preserve"> </v>
      </c>
      <c r="B155" s="26" t="str">
        <f>IF('E-Barrows'!A155&lt;'Adj-Barrows'!$B$10,'E-Barrows'!A155," ")</f>
        <v xml:space="preserve"> </v>
      </c>
      <c r="C155" s="26" t="str">
        <f>IF('E-Barrows'!A155&lt;'Adj-Barrows'!$B$10,'E-Barrows'!C155," ")</f>
        <v xml:space="preserve"> </v>
      </c>
      <c r="D155" s="28" t="str">
        <f>IF('E-Barrows'!A155&lt;'Adj-Barrows'!$B$10,'E-Barrows'!G155," ")</f>
        <v xml:space="preserve"> </v>
      </c>
      <c r="E155" s="27" t="str">
        <f>IF('E-Barrows'!A155&lt;'Adj-Barrows'!$B$10,'E-Barrows'!D155," ")</f>
        <v xml:space="preserve"> </v>
      </c>
      <c r="F155" s="27"/>
      <c r="G155" s="92" t="str">
        <f t="shared" si="9"/>
        <v xml:space="preserve"> </v>
      </c>
      <c r="H155" s="28" t="str">
        <f>IF('E-Barrows'!A155&lt;'Adj-Barrows'!$B$10,'E-Barrows'!I155," ")</f>
        <v xml:space="preserve"> </v>
      </c>
      <c r="I155" s="24" t="str">
        <f>IF('E-Barrows'!A155&lt;'Adj-Barrows'!$B$10,'E-Barrows'!A155," ")</f>
        <v xml:space="preserve"> </v>
      </c>
      <c r="J155" s="26" t="str">
        <f>IF('E-Barrows'!A155&lt;'Adj-Barrows'!$B$10,'E-Barrows'!J155," ")</f>
        <v xml:space="preserve"> </v>
      </c>
      <c r="K155" s="28" t="str">
        <f>IF('E-Barrows'!A155&lt;'Adj-Barrows'!$B$10,'E-Barrows'!N155," ")</f>
        <v xml:space="preserve"> </v>
      </c>
      <c r="L155" s="27" t="str">
        <f>IF('E-Barrows'!A155&lt;'Adj-Barrows'!$B$10,'E-Barrows'!K155," ")</f>
        <v xml:space="preserve"> </v>
      </c>
      <c r="M155" s="28" t="str">
        <f>IF('E-Barrows'!A155&lt;'Adj-Barrows'!$B$10,'E-Barrows'!M155," ")</f>
        <v xml:space="preserve"> </v>
      </c>
      <c r="N155" s="30" t="str">
        <f>IF('E-Barrows'!A155&lt;'Adj-Barrows'!$B$10,1/L155," ")</f>
        <v xml:space="preserve"> </v>
      </c>
      <c r="P155" s="31" t="str">
        <f t="shared" si="10"/>
        <v/>
      </c>
      <c r="Q155" s="31" t="str">
        <f t="shared" si="11"/>
        <v/>
      </c>
      <c r="R155" s="31" t="str">
        <f t="shared" si="12"/>
        <v/>
      </c>
    </row>
    <row r="156" spans="1:18" x14ac:dyDescent="0.25">
      <c r="A156" s="28" t="str">
        <f>IF('E-Barrows'!A156&lt;'Adj-Barrows'!$B$10,'E-Barrows'!B156," ")</f>
        <v xml:space="preserve"> </v>
      </c>
      <c r="B156" s="26" t="str">
        <f>IF('E-Barrows'!A156&lt;'Adj-Barrows'!$B$10,'E-Barrows'!A156," ")</f>
        <v xml:space="preserve"> </v>
      </c>
      <c r="C156" s="26" t="str">
        <f>IF('E-Barrows'!A156&lt;'Adj-Barrows'!$B$10,'E-Barrows'!C156," ")</f>
        <v xml:space="preserve"> </v>
      </c>
      <c r="D156" s="28" t="str">
        <f>IF('E-Barrows'!A156&lt;'Adj-Barrows'!$B$10,'E-Barrows'!G156," ")</f>
        <v xml:space="preserve"> </v>
      </c>
      <c r="E156" s="27" t="str">
        <f>IF('E-Barrows'!A156&lt;'Adj-Barrows'!$B$10,'E-Barrows'!D156," ")</f>
        <v xml:space="preserve"> </v>
      </c>
      <c r="F156" s="27"/>
      <c r="G156" s="92" t="str">
        <f t="shared" si="9"/>
        <v xml:space="preserve"> </v>
      </c>
      <c r="H156" s="28" t="str">
        <f>IF('E-Barrows'!A156&lt;'Adj-Barrows'!$B$10,'E-Barrows'!I156," ")</f>
        <v xml:space="preserve"> </v>
      </c>
      <c r="I156" s="24" t="str">
        <f>IF('E-Barrows'!A156&lt;'Adj-Barrows'!$B$10,'E-Barrows'!A156," ")</f>
        <v xml:space="preserve"> </v>
      </c>
      <c r="J156" s="26" t="str">
        <f>IF('E-Barrows'!A156&lt;'Adj-Barrows'!$B$10,'E-Barrows'!J156," ")</f>
        <v xml:space="preserve"> </v>
      </c>
      <c r="K156" s="28" t="str">
        <f>IF('E-Barrows'!A156&lt;'Adj-Barrows'!$B$10,'E-Barrows'!N156," ")</f>
        <v xml:space="preserve"> </v>
      </c>
      <c r="L156" s="27" t="str">
        <f>IF('E-Barrows'!A156&lt;'Adj-Barrows'!$B$10,'E-Barrows'!K156," ")</f>
        <v xml:space="preserve"> </v>
      </c>
      <c r="M156" s="28" t="str">
        <f>IF('E-Barrows'!A156&lt;'Adj-Barrows'!$B$10,'E-Barrows'!M156," ")</f>
        <v xml:space="preserve"> </v>
      </c>
      <c r="N156" s="30" t="str">
        <f>IF('E-Barrows'!A156&lt;'Adj-Barrows'!$B$10,1/L156," ")</f>
        <v xml:space="preserve"> </v>
      </c>
      <c r="P156" s="31" t="str">
        <f t="shared" si="10"/>
        <v/>
      </c>
      <c r="Q156" s="31" t="str">
        <f t="shared" si="11"/>
        <v/>
      </c>
      <c r="R156" s="31" t="str">
        <f t="shared" si="12"/>
        <v/>
      </c>
    </row>
    <row r="157" spans="1:18" x14ac:dyDescent="0.25">
      <c r="A157" s="28" t="str">
        <f>IF('E-Barrows'!A157&lt;'Adj-Barrows'!$B$10,'E-Barrows'!B157," ")</f>
        <v xml:space="preserve"> </v>
      </c>
      <c r="B157" s="26" t="str">
        <f>IF('E-Barrows'!A157&lt;'Adj-Barrows'!$B$10,'E-Barrows'!A157," ")</f>
        <v xml:space="preserve"> </v>
      </c>
      <c r="C157" s="26" t="str">
        <f>IF('E-Barrows'!A157&lt;'Adj-Barrows'!$B$10,'E-Barrows'!C157," ")</f>
        <v xml:space="preserve"> </v>
      </c>
      <c r="D157" s="28" t="str">
        <f>IF('E-Barrows'!A157&lt;'Adj-Barrows'!$B$10,'E-Barrows'!G157," ")</f>
        <v xml:space="preserve"> </v>
      </c>
      <c r="E157" s="27" t="str">
        <f>IF('E-Barrows'!A157&lt;'Adj-Barrows'!$B$10,'E-Barrows'!D157," ")</f>
        <v xml:space="preserve"> </v>
      </c>
      <c r="F157" s="27"/>
      <c r="G157" s="92" t="str">
        <f t="shared" si="9"/>
        <v xml:space="preserve"> </v>
      </c>
      <c r="H157" s="28" t="str">
        <f>IF('E-Barrows'!A157&lt;'Adj-Barrows'!$B$10,'E-Barrows'!I157," ")</f>
        <v xml:space="preserve"> </v>
      </c>
      <c r="I157" s="24" t="str">
        <f>IF('E-Barrows'!A157&lt;'Adj-Barrows'!$B$10,'E-Barrows'!A157," ")</f>
        <v xml:space="preserve"> </v>
      </c>
      <c r="J157" s="26" t="str">
        <f>IF('E-Barrows'!A157&lt;'Adj-Barrows'!$B$10,'E-Barrows'!J157," ")</f>
        <v xml:space="preserve"> </v>
      </c>
      <c r="K157" s="28" t="str">
        <f>IF('E-Barrows'!A157&lt;'Adj-Barrows'!$B$10,'E-Barrows'!N157," ")</f>
        <v xml:space="preserve"> </v>
      </c>
      <c r="L157" s="27" t="str">
        <f>IF('E-Barrows'!A157&lt;'Adj-Barrows'!$B$10,'E-Barrows'!K157," ")</f>
        <v xml:space="preserve"> </v>
      </c>
      <c r="M157" s="28" t="str">
        <f>IF('E-Barrows'!A157&lt;'Adj-Barrows'!$B$10,'E-Barrows'!M157," ")</f>
        <v xml:space="preserve"> </v>
      </c>
      <c r="N157" s="30" t="str">
        <f>IF('E-Barrows'!A157&lt;'Adj-Barrows'!$B$10,1/L157," ")</f>
        <v xml:space="preserve"> </v>
      </c>
      <c r="P157" s="31" t="str">
        <f t="shared" si="10"/>
        <v/>
      </c>
      <c r="Q157" s="31" t="str">
        <f t="shared" si="11"/>
        <v/>
      </c>
      <c r="R157" s="31" t="str">
        <f t="shared" si="12"/>
        <v/>
      </c>
    </row>
    <row r="158" spans="1:18" x14ac:dyDescent="0.25">
      <c r="A158" s="28" t="str">
        <f>IF('E-Barrows'!A158&lt;'Adj-Barrows'!$B$10,'E-Barrows'!B158," ")</f>
        <v xml:space="preserve"> </v>
      </c>
      <c r="B158" s="26" t="str">
        <f>IF('E-Barrows'!A158&lt;'Adj-Barrows'!$B$10,'E-Barrows'!A158," ")</f>
        <v xml:space="preserve"> </v>
      </c>
      <c r="C158" s="26" t="str">
        <f>IF('E-Barrows'!A158&lt;'Adj-Barrows'!$B$10,'E-Barrows'!C158," ")</f>
        <v xml:space="preserve"> </v>
      </c>
      <c r="D158" s="28" t="str">
        <f>IF('E-Barrows'!A158&lt;'Adj-Barrows'!$B$10,'E-Barrows'!G158," ")</f>
        <v xml:space="preserve"> </v>
      </c>
      <c r="E158" s="27" t="str">
        <f>IF('E-Barrows'!A158&lt;'Adj-Barrows'!$B$10,'E-Barrows'!D158," ")</f>
        <v xml:space="preserve"> </v>
      </c>
      <c r="F158" s="27"/>
      <c r="G158" s="92" t="str">
        <f t="shared" si="9"/>
        <v xml:space="preserve"> </v>
      </c>
      <c r="H158" s="28" t="str">
        <f>IF('E-Barrows'!A158&lt;'Adj-Barrows'!$B$10,'E-Barrows'!I158," ")</f>
        <v xml:space="preserve"> </v>
      </c>
      <c r="I158" s="24" t="str">
        <f>IF('E-Barrows'!A158&lt;'Adj-Barrows'!$B$10,'E-Barrows'!A158," ")</f>
        <v xml:space="preserve"> </v>
      </c>
      <c r="J158" s="26" t="str">
        <f>IF('E-Barrows'!A158&lt;'Adj-Barrows'!$B$10,'E-Barrows'!J158," ")</f>
        <v xml:space="preserve"> </v>
      </c>
      <c r="K158" s="28" t="str">
        <f>IF('E-Barrows'!A158&lt;'Adj-Barrows'!$B$10,'E-Barrows'!N158," ")</f>
        <v xml:space="preserve"> </v>
      </c>
      <c r="L158" s="27" t="str">
        <f>IF('E-Barrows'!A158&lt;'Adj-Barrows'!$B$10,'E-Barrows'!K158," ")</f>
        <v xml:space="preserve"> </v>
      </c>
      <c r="M158" s="28" t="str">
        <f>IF('E-Barrows'!A158&lt;'Adj-Barrows'!$B$10,'E-Barrows'!M158," ")</f>
        <v xml:space="preserve"> </v>
      </c>
      <c r="N158" s="30" t="str">
        <f>IF('E-Barrows'!A158&lt;'Adj-Barrows'!$B$10,1/L158," ")</f>
        <v xml:space="preserve"> </v>
      </c>
      <c r="P158" s="31" t="str">
        <f t="shared" si="10"/>
        <v/>
      </c>
      <c r="Q158" s="31" t="str">
        <f t="shared" si="11"/>
        <v/>
      </c>
      <c r="R158" s="31" t="str">
        <f t="shared" si="12"/>
        <v/>
      </c>
    </row>
    <row r="159" spans="1:18" x14ac:dyDescent="0.25">
      <c r="A159" s="28" t="str">
        <f>IF('E-Barrows'!A159&lt;'Adj-Barrows'!$B$10,'E-Barrows'!B159," ")</f>
        <v xml:space="preserve"> </v>
      </c>
      <c r="B159" s="26" t="str">
        <f>IF('E-Barrows'!A159&lt;'Adj-Barrows'!$B$10,'E-Barrows'!A159," ")</f>
        <v xml:space="preserve"> </v>
      </c>
      <c r="C159" s="26" t="str">
        <f>IF('E-Barrows'!A159&lt;'Adj-Barrows'!$B$10,'E-Barrows'!C159," ")</f>
        <v xml:space="preserve"> </v>
      </c>
      <c r="D159" s="28" t="str">
        <f>IF('E-Barrows'!A159&lt;'Adj-Barrows'!$B$10,'E-Barrows'!G159," ")</f>
        <v xml:space="preserve"> </v>
      </c>
      <c r="E159" s="27" t="str">
        <f>IF('E-Barrows'!A159&lt;'Adj-Barrows'!$B$10,'E-Barrows'!D159," ")</f>
        <v xml:space="preserve"> </v>
      </c>
      <c r="F159" s="27"/>
      <c r="G159" s="92" t="str">
        <f t="shared" si="9"/>
        <v xml:space="preserve"> </v>
      </c>
      <c r="H159" s="28" t="str">
        <f>IF('E-Barrows'!A159&lt;'Adj-Barrows'!$B$10,'E-Barrows'!I159," ")</f>
        <v xml:space="preserve"> </v>
      </c>
      <c r="I159" s="24" t="str">
        <f>IF('E-Barrows'!A159&lt;'Adj-Barrows'!$B$10,'E-Barrows'!A159," ")</f>
        <v xml:space="preserve"> </v>
      </c>
      <c r="J159" s="26" t="str">
        <f>IF('E-Barrows'!A159&lt;'Adj-Barrows'!$B$10,'E-Barrows'!J159," ")</f>
        <v xml:space="preserve"> </v>
      </c>
      <c r="K159" s="28" t="str">
        <f>IF('E-Barrows'!A159&lt;'Adj-Barrows'!$B$10,'E-Barrows'!N159," ")</f>
        <v xml:space="preserve"> </v>
      </c>
      <c r="L159" s="27" t="str">
        <f>IF('E-Barrows'!A159&lt;'Adj-Barrows'!$B$10,'E-Barrows'!K159," ")</f>
        <v xml:space="preserve"> </v>
      </c>
      <c r="M159" s="28" t="str">
        <f>IF('E-Barrows'!A159&lt;'Adj-Barrows'!$B$10,'E-Barrows'!M159," ")</f>
        <v xml:space="preserve"> </v>
      </c>
      <c r="N159" s="30" t="str">
        <f>IF('E-Barrows'!A159&lt;'Adj-Barrows'!$B$10,1/L159," ")</f>
        <v xml:space="preserve"> </v>
      </c>
      <c r="P159" s="31" t="str">
        <f t="shared" si="10"/>
        <v/>
      </c>
      <c r="Q159" s="31" t="str">
        <f t="shared" si="11"/>
        <v/>
      </c>
      <c r="R159" s="31" t="str">
        <f t="shared" si="12"/>
        <v/>
      </c>
    </row>
    <row r="160" spans="1:18" x14ac:dyDescent="0.25">
      <c r="A160" s="28" t="str">
        <f>IF('E-Barrows'!A160&lt;'Adj-Barrows'!$B$10,'E-Barrows'!B160," ")</f>
        <v xml:space="preserve"> </v>
      </c>
      <c r="B160" s="26" t="str">
        <f>IF('E-Barrows'!A160&lt;'Adj-Barrows'!$B$10,'E-Barrows'!A160," ")</f>
        <v xml:space="preserve"> </v>
      </c>
      <c r="C160" s="26" t="str">
        <f>IF('E-Barrows'!A160&lt;'Adj-Barrows'!$B$10,'E-Barrows'!C160," ")</f>
        <v xml:space="preserve"> </v>
      </c>
      <c r="D160" s="28" t="str">
        <f>IF('E-Barrows'!A160&lt;'Adj-Barrows'!$B$10,'E-Barrows'!G160," ")</f>
        <v xml:space="preserve"> </v>
      </c>
      <c r="E160" s="27" t="str">
        <f>IF('E-Barrows'!A160&lt;'Adj-Barrows'!$B$10,'E-Barrows'!D160," ")</f>
        <v xml:space="preserve"> </v>
      </c>
      <c r="F160" s="27"/>
      <c r="G160" s="92" t="str">
        <f t="shared" si="9"/>
        <v xml:space="preserve"> </v>
      </c>
      <c r="H160" s="28" t="str">
        <f>IF('E-Barrows'!A160&lt;'Adj-Barrows'!$B$10,'E-Barrows'!I160," ")</f>
        <v xml:space="preserve"> </v>
      </c>
      <c r="I160" s="24" t="str">
        <f>IF('E-Barrows'!A160&lt;'Adj-Barrows'!$B$10,'E-Barrows'!A160," ")</f>
        <v xml:space="preserve"> </v>
      </c>
      <c r="J160" s="26" t="str">
        <f>IF('E-Barrows'!A160&lt;'Adj-Barrows'!$B$10,'E-Barrows'!J160," ")</f>
        <v xml:space="preserve"> </v>
      </c>
      <c r="K160" s="28" t="str">
        <f>IF('E-Barrows'!A160&lt;'Adj-Barrows'!$B$10,'E-Barrows'!N160," ")</f>
        <v xml:space="preserve"> </v>
      </c>
      <c r="L160" s="27" t="str">
        <f>IF('E-Barrows'!A160&lt;'Adj-Barrows'!$B$10,'E-Barrows'!K160," ")</f>
        <v xml:space="preserve"> </v>
      </c>
      <c r="M160" s="28" t="str">
        <f>IF('E-Barrows'!A160&lt;'Adj-Barrows'!$B$10,'E-Barrows'!M160," ")</f>
        <v xml:space="preserve"> </v>
      </c>
      <c r="N160" s="30" t="str">
        <f>IF('E-Barrows'!A160&lt;'Adj-Barrows'!$B$10,1/L160," ")</f>
        <v xml:space="preserve"> </v>
      </c>
      <c r="P160" s="31" t="str">
        <f t="shared" si="10"/>
        <v/>
      </c>
      <c r="Q160" s="31" t="str">
        <f t="shared" si="11"/>
        <v/>
      </c>
      <c r="R160" s="31" t="str">
        <f t="shared" si="12"/>
        <v/>
      </c>
    </row>
    <row r="161" spans="1:18" x14ac:dyDescent="0.25">
      <c r="A161" s="28" t="str">
        <f>IF('E-Barrows'!A161&lt;'Adj-Barrows'!$B$10,'E-Barrows'!B161," ")</f>
        <v xml:space="preserve"> </v>
      </c>
      <c r="B161" s="26" t="str">
        <f>IF('E-Barrows'!A161&lt;'Adj-Barrows'!$B$10,'E-Barrows'!A161," ")</f>
        <v xml:space="preserve"> </v>
      </c>
      <c r="C161" s="26" t="str">
        <f>IF('E-Barrows'!A161&lt;'Adj-Barrows'!$B$10,'E-Barrows'!C161," ")</f>
        <v xml:space="preserve"> </v>
      </c>
      <c r="D161" s="28" t="str">
        <f>IF('E-Barrows'!A161&lt;'Adj-Barrows'!$B$10,'E-Barrows'!G161," ")</f>
        <v xml:space="preserve"> </v>
      </c>
      <c r="E161" s="27" t="str">
        <f>IF('E-Barrows'!A161&lt;'Adj-Barrows'!$B$10,'E-Barrows'!D161," ")</f>
        <v xml:space="preserve"> </v>
      </c>
      <c r="F161" s="27"/>
      <c r="G161" s="92" t="str">
        <f t="shared" si="9"/>
        <v xml:space="preserve"> </v>
      </c>
      <c r="H161" s="28" t="str">
        <f>IF('E-Barrows'!A161&lt;'Adj-Barrows'!$B$10,'E-Barrows'!I161," ")</f>
        <v xml:space="preserve"> </v>
      </c>
      <c r="I161" s="24" t="str">
        <f>IF('E-Barrows'!A161&lt;'Adj-Barrows'!$B$10,'E-Barrows'!A161," ")</f>
        <v xml:space="preserve"> </v>
      </c>
      <c r="J161" s="26" t="str">
        <f>IF('E-Barrows'!A161&lt;'Adj-Barrows'!$B$10,'E-Barrows'!J161," ")</f>
        <v xml:space="preserve"> </v>
      </c>
      <c r="K161" s="28" t="str">
        <f>IF('E-Barrows'!A161&lt;'Adj-Barrows'!$B$10,'E-Barrows'!N161," ")</f>
        <v xml:space="preserve"> </v>
      </c>
      <c r="L161" s="27" t="str">
        <f>IF('E-Barrows'!A161&lt;'Adj-Barrows'!$B$10,'E-Barrows'!K161," ")</f>
        <v xml:space="preserve"> </v>
      </c>
      <c r="M161" s="28" t="str">
        <f>IF('E-Barrows'!A161&lt;'Adj-Barrows'!$B$10,'E-Barrows'!M161," ")</f>
        <v xml:space="preserve"> </v>
      </c>
      <c r="N161" s="30" t="str">
        <f>IF('E-Barrows'!A161&lt;'Adj-Barrows'!$B$10,1/L161," ")</f>
        <v xml:space="preserve"> </v>
      </c>
      <c r="P161" s="31" t="str">
        <f t="shared" si="10"/>
        <v/>
      </c>
      <c r="Q161" s="31" t="str">
        <f t="shared" si="11"/>
        <v/>
      </c>
      <c r="R161" s="31" t="str">
        <f t="shared" si="12"/>
        <v/>
      </c>
    </row>
    <row r="162" spans="1:18" x14ac:dyDescent="0.25">
      <c r="A162" s="28" t="str">
        <f>IF('E-Barrows'!A162&lt;'Adj-Barrows'!$B$10,'E-Barrows'!B162," ")</f>
        <v xml:space="preserve"> </v>
      </c>
      <c r="B162" s="26" t="str">
        <f>IF('E-Barrows'!A162&lt;'Adj-Barrows'!$B$10,'E-Barrows'!A162," ")</f>
        <v xml:space="preserve"> </v>
      </c>
      <c r="C162" s="26" t="str">
        <f>IF('E-Barrows'!A162&lt;'Adj-Barrows'!$B$10,'E-Barrows'!C162," ")</f>
        <v xml:space="preserve"> </v>
      </c>
      <c r="D162" s="28" t="str">
        <f>IF('E-Barrows'!A162&lt;'Adj-Barrows'!$B$10,'E-Barrows'!G162," ")</f>
        <v xml:space="preserve"> </v>
      </c>
      <c r="E162" s="27" t="str">
        <f>IF('E-Barrows'!A162&lt;'Adj-Barrows'!$B$10,'E-Barrows'!D162," ")</f>
        <v xml:space="preserve"> </v>
      </c>
      <c r="F162" s="27"/>
      <c r="G162" s="92" t="str">
        <f t="shared" si="9"/>
        <v xml:space="preserve"> </v>
      </c>
      <c r="H162" s="28" t="str">
        <f>IF('E-Barrows'!A162&lt;'Adj-Barrows'!$B$10,'E-Barrows'!I162," ")</f>
        <v xml:space="preserve"> </v>
      </c>
      <c r="I162" s="24" t="str">
        <f>IF('E-Barrows'!A162&lt;'Adj-Barrows'!$B$10,'E-Barrows'!A162," ")</f>
        <v xml:space="preserve"> </v>
      </c>
      <c r="J162" s="26" t="str">
        <f>IF('E-Barrows'!A162&lt;'Adj-Barrows'!$B$10,'E-Barrows'!J162," ")</f>
        <v xml:space="preserve"> </v>
      </c>
      <c r="K162" s="28" t="str">
        <f>IF('E-Barrows'!A162&lt;'Adj-Barrows'!$B$10,'E-Barrows'!N162," ")</f>
        <v xml:space="preserve"> </v>
      </c>
      <c r="L162" s="27" t="str">
        <f>IF('E-Barrows'!A162&lt;'Adj-Barrows'!$B$10,'E-Barrows'!K162," ")</f>
        <v xml:space="preserve"> </v>
      </c>
      <c r="M162" s="28" t="str">
        <f>IF('E-Barrows'!A162&lt;'Adj-Barrows'!$B$10,'E-Barrows'!M162," ")</f>
        <v xml:space="preserve"> </v>
      </c>
      <c r="N162" s="30" t="str">
        <f>IF('E-Barrows'!A162&lt;'Adj-Barrows'!$B$10,1/L162," ")</f>
        <v xml:space="preserve"> </v>
      </c>
      <c r="P162" s="31" t="str">
        <f t="shared" si="10"/>
        <v/>
      </c>
      <c r="Q162" s="31" t="str">
        <f t="shared" si="11"/>
        <v/>
      </c>
      <c r="R162" s="31" t="str">
        <f t="shared" si="12"/>
        <v/>
      </c>
    </row>
    <row r="163" spans="1:18" x14ac:dyDescent="0.25">
      <c r="A163" s="28" t="str">
        <f>IF('E-Barrows'!A163&lt;'Adj-Barrows'!$B$10,'E-Barrows'!B163," ")</f>
        <v xml:space="preserve"> </v>
      </c>
      <c r="B163" s="26" t="str">
        <f>IF('E-Barrows'!A163&lt;'Adj-Barrows'!$B$10,'E-Barrows'!A163," ")</f>
        <v xml:space="preserve"> </v>
      </c>
      <c r="C163" s="26" t="str">
        <f>IF('E-Barrows'!A163&lt;'Adj-Barrows'!$B$10,'E-Barrows'!C163," ")</f>
        <v xml:space="preserve"> </v>
      </c>
      <c r="D163" s="28" t="str">
        <f>IF('E-Barrows'!A163&lt;'Adj-Barrows'!$B$10,'E-Barrows'!G163," ")</f>
        <v xml:space="preserve"> </v>
      </c>
      <c r="E163" s="27" t="str">
        <f>IF('E-Barrows'!A163&lt;'Adj-Barrows'!$B$10,'E-Barrows'!D163," ")</f>
        <v xml:space="preserve"> </v>
      </c>
      <c r="F163" s="27"/>
      <c r="G163" s="92" t="str">
        <f t="shared" si="9"/>
        <v xml:space="preserve"> </v>
      </c>
      <c r="H163" s="28" t="str">
        <f>IF('E-Barrows'!A163&lt;'Adj-Barrows'!$B$10,'E-Barrows'!I163," ")</f>
        <v xml:space="preserve"> </v>
      </c>
      <c r="I163" s="24" t="str">
        <f>IF('E-Barrows'!A163&lt;'Adj-Barrows'!$B$10,'E-Barrows'!A163," ")</f>
        <v xml:space="preserve"> </v>
      </c>
      <c r="J163" s="26" t="str">
        <f>IF('E-Barrows'!A163&lt;'Adj-Barrows'!$B$10,'E-Barrows'!J163," ")</f>
        <v xml:space="preserve"> </v>
      </c>
      <c r="K163" s="28" t="str">
        <f>IF('E-Barrows'!A163&lt;'Adj-Barrows'!$B$10,'E-Barrows'!N163," ")</f>
        <v xml:space="preserve"> </v>
      </c>
      <c r="L163" s="27" t="str">
        <f>IF('E-Barrows'!A163&lt;'Adj-Barrows'!$B$10,'E-Barrows'!K163," ")</f>
        <v xml:space="preserve"> </v>
      </c>
      <c r="M163" s="28" t="str">
        <f>IF('E-Barrows'!A163&lt;'Adj-Barrows'!$B$10,'E-Barrows'!M163," ")</f>
        <v xml:space="preserve"> </v>
      </c>
      <c r="N163" s="30" t="str">
        <f>IF('E-Barrows'!A163&lt;'Adj-Barrows'!$B$10,1/L163," ")</f>
        <v xml:space="preserve"> </v>
      </c>
      <c r="P163" s="31" t="str">
        <f t="shared" si="10"/>
        <v/>
      </c>
      <c r="Q163" s="31" t="str">
        <f t="shared" si="11"/>
        <v/>
      </c>
      <c r="R163" s="31" t="str">
        <f t="shared" si="12"/>
        <v/>
      </c>
    </row>
    <row r="164" spans="1:18" x14ac:dyDescent="0.25">
      <c r="A164" s="28" t="str">
        <f>IF('E-Barrows'!A164&lt;'Adj-Barrows'!$B$10,'E-Barrows'!B164," ")</f>
        <v xml:space="preserve"> </v>
      </c>
      <c r="B164" s="26" t="str">
        <f>IF('E-Barrows'!A164&lt;'Adj-Barrows'!$B$10,'E-Barrows'!A164," ")</f>
        <v xml:space="preserve"> </v>
      </c>
      <c r="C164" s="26" t="str">
        <f>IF('E-Barrows'!A164&lt;'Adj-Barrows'!$B$10,'E-Barrows'!C164," ")</f>
        <v xml:space="preserve"> </v>
      </c>
      <c r="D164" s="28" t="str">
        <f>IF('E-Barrows'!A164&lt;'Adj-Barrows'!$B$10,'E-Barrows'!G164," ")</f>
        <v xml:space="preserve"> </v>
      </c>
      <c r="E164" s="27" t="str">
        <f>IF('E-Barrows'!A164&lt;'Adj-Barrows'!$B$10,'E-Barrows'!D164," ")</f>
        <v xml:space="preserve"> </v>
      </c>
      <c r="F164" s="27"/>
      <c r="G164" s="92" t="str">
        <f t="shared" si="9"/>
        <v xml:space="preserve"> </v>
      </c>
      <c r="H164" s="28" t="str">
        <f>IF('E-Barrows'!A164&lt;'Adj-Barrows'!$B$10,'E-Barrows'!I164," ")</f>
        <v xml:space="preserve"> </v>
      </c>
      <c r="I164" s="24" t="str">
        <f>IF('E-Barrows'!A164&lt;'Adj-Barrows'!$B$10,'E-Barrows'!A164," ")</f>
        <v xml:space="preserve"> </v>
      </c>
      <c r="J164" s="26" t="str">
        <f>IF('E-Barrows'!A164&lt;'Adj-Barrows'!$B$10,'E-Barrows'!J164," ")</f>
        <v xml:space="preserve"> </v>
      </c>
      <c r="K164" s="28" t="str">
        <f>IF('E-Barrows'!A164&lt;'Adj-Barrows'!$B$10,'E-Barrows'!N164," ")</f>
        <v xml:space="preserve"> </v>
      </c>
      <c r="L164" s="27" t="str">
        <f>IF('E-Barrows'!A164&lt;'Adj-Barrows'!$B$10,'E-Barrows'!K164," ")</f>
        <v xml:space="preserve"> </v>
      </c>
      <c r="M164" s="28" t="str">
        <f>IF('E-Barrows'!A164&lt;'Adj-Barrows'!$B$10,'E-Barrows'!M164," ")</f>
        <v xml:space="preserve"> </v>
      </c>
      <c r="N164" s="30" t="str">
        <f>IF('E-Barrows'!A164&lt;'Adj-Barrows'!$B$10,1/L164," ")</f>
        <v xml:space="preserve"> </v>
      </c>
      <c r="P164" s="31" t="str">
        <f t="shared" si="10"/>
        <v/>
      </c>
      <c r="Q164" s="31" t="str">
        <f t="shared" si="11"/>
        <v/>
      </c>
      <c r="R164" s="31" t="str">
        <f t="shared" si="12"/>
        <v/>
      </c>
    </row>
    <row r="165" spans="1:18" x14ac:dyDescent="0.25">
      <c r="A165" s="28" t="str">
        <f>IF('E-Barrows'!A165&lt;'Adj-Barrows'!$B$10,'E-Barrows'!B165," ")</f>
        <v xml:space="preserve"> </v>
      </c>
      <c r="B165" s="26" t="str">
        <f>IF('E-Barrows'!A165&lt;'Adj-Barrows'!$B$10,'E-Barrows'!A165," ")</f>
        <v xml:space="preserve"> </v>
      </c>
      <c r="C165" s="26" t="str">
        <f>IF('E-Barrows'!A165&lt;'Adj-Barrows'!$B$10,'E-Barrows'!C165," ")</f>
        <v xml:space="preserve"> </v>
      </c>
      <c r="D165" s="28" t="str">
        <f>IF('E-Barrows'!A165&lt;'Adj-Barrows'!$B$10,'E-Barrows'!G165," ")</f>
        <v xml:space="preserve"> </v>
      </c>
      <c r="E165" s="27" t="str">
        <f>IF('E-Barrows'!A165&lt;'Adj-Barrows'!$B$10,'E-Barrows'!D165," ")</f>
        <v xml:space="preserve"> </v>
      </c>
      <c r="F165" s="27"/>
      <c r="G165" s="92" t="str">
        <f t="shared" si="9"/>
        <v xml:space="preserve"> </v>
      </c>
      <c r="H165" s="28" t="str">
        <f>IF('E-Barrows'!A165&lt;'Adj-Barrows'!$B$10,'E-Barrows'!I165," ")</f>
        <v xml:space="preserve"> </v>
      </c>
      <c r="I165" s="24" t="str">
        <f>IF('E-Barrows'!A165&lt;'Adj-Barrows'!$B$10,'E-Barrows'!A165," ")</f>
        <v xml:space="preserve"> </v>
      </c>
      <c r="J165" s="26" t="str">
        <f>IF('E-Barrows'!A165&lt;'Adj-Barrows'!$B$10,'E-Barrows'!J165," ")</f>
        <v xml:space="preserve"> </v>
      </c>
      <c r="K165" s="28" t="str">
        <f>IF('E-Barrows'!A165&lt;'Adj-Barrows'!$B$10,'E-Barrows'!N165," ")</f>
        <v xml:space="preserve"> </v>
      </c>
      <c r="L165" s="27" t="str">
        <f>IF('E-Barrows'!A165&lt;'Adj-Barrows'!$B$10,'E-Barrows'!K165," ")</f>
        <v xml:space="preserve"> </v>
      </c>
      <c r="M165" s="28" t="str">
        <f>IF('E-Barrows'!A165&lt;'Adj-Barrows'!$B$10,'E-Barrows'!M165," ")</f>
        <v xml:space="preserve"> </v>
      </c>
      <c r="N165" s="30" t="str">
        <f>IF('E-Barrows'!A165&lt;'Adj-Barrows'!$B$10,1/L165," ")</f>
        <v xml:space="preserve"> </v>
      </c>
      <c r="P165" s="31" t="str">
        <f t="shared" si="10"/>
        <v/>
      </c>
      <c r="Q165" s="31" t="str">
        <f t="shared" si="11"/>
        <v/>
      </c>
      <c r="R165" s="31" t="str">
        <f t="shared" si="12"/>
        <v/>
      </c>
    </row>
    <row r="166" spans="1:18" x14ac:dyDescent="0.25">
      <c r="A166" s="28" t="str">
        <f>IF('E-Barrows'!A166&lt;'Adj-Barrows'!$B$10,'E-Barrows'!B166," ")</f>
        <v xml:space="preserve"> </v>
      </c>
      <c r="B166" s="26" t="str">
        <f>IF('E-Barrows'!A166&lt;'Adj-Barrows'!$B$10,'E-Barrows'!A166," ")</f>
        <v xml:space="preserve"> </v>
      </c>
      <c r="C166" s="26" t="str">
        <f>IF('E-Barrows'!A166&lt;'Adj-Barrows'!$B$10,'E-Barrows'!C166," ")</f>
        <v xml:space="preserve"> </v>
      </c>
      <c r="D166" s="28" t="str">
        <f>IF('E-Barrows'!A166&lt;'Adj-Barrows'!$B$10,'E-Barrows'!G166," ")</f>
        <v xml:space="preserve"> </v>
      </c>
      <c r="E166" s="27" t="str">
        <f>IF('E-Barrows'!A166&lt;'Adj-Barrows'!$B$10,'E-Barrows'!D166," ")</f>
        <v xml:space="preserve"> </v>
      </c>
      <c r="F166" s="27"/>
      <c r="G166" s="92" t="str">
        <f t="shared" si="9"/>
        <v xml:space="preserve"> </v>
      </c>
      <c r="H166" s="28" t="str">
        <f>IF('E-Barrows'!A166&lt;'Adj-Barrows'!$B$10,'E-Barrows'!I166," ")</f>
        <v xml:space="preserve"> </v>
      </c>
      <c r="I166" s="24" t="str">
        <f>IF('E-Barrows'!A166&lt;'Adj-Barrows'!$B$10,'E-Barrows'!A166," ")</f>
        <v xml:space="preserve"> </v>
      </c>
      <c r="J166" s="26" t="str">
        <f>IF('E-Barrows'!A166&lt;'Adj-Barrows'!$B$10,'E-Barrows'!J166," ")</f>
        <v xml:space="preserve"> </v>
      </c>
      <c r="K166" s="28" t="str">
        <f>IF('E-Barrows'!A166&lt;'Adj-Barrows'!$B$10,'E-Barrows'!N166," ")</f>
        <v xml:space="preserve"> </v>
      </c>
      <c r="L166" s="27" t="str">
        <f>IF('E-Barrows'!A166&lt;'Adj-Barrows'!$B$10,'E-Barrows'!K166," ")</f>
        <v xml:space="preserve"> </v>
      </c>
      <c r="M166" s="28" t="str">
        <f>IF('E-Barrows'!A166&lt;'Adj-Barrows'!$B$10,'E-Barrows'!M166," ")</f>
        <v xml:space="preserve"> </v>
      </c>
      <c r="N166" s="30" t="str">
        <f>IF('E-Barrows'!A166&lt;'Adj-Barrows'!$B$10,1/L166," ")</f>
        <v xml:space="preserve"> </v>
      </c>
      <c r="P166" s="31" t="str">
        <f t="shared" si="10"/>
        <v/>
      </c>
      <c r="Q166" s="31" t="str">
        <f t="shared" si="11"/>
        <v/>
      </c>
      <c r="R166" s="31" t="str">
        <f t="shared" si="12"/>
        <v/>
      </c>
    </row>
    <row r="167" spans="1:18" x14ac:dyDescent="0.25">
      <c r="A167" s="28" t="str">
        <f>IF('E-Barrows'!A167&lt;'Adj-Barrows'!$B$10,'E-Barrows'!B167," ")</f>
        <v xml:space="preserve"> </v>
      </c>
      <c r="B167" s="26" t="str">
        <f>IF('E-Barrows'!A167&lt;'Adj-Barrows'!$B$10,'E-Barrows'!A167," ")</f>
        <v xml:space="preserve"> </v>
      </c>
      <c r="C167" s="26" t="str">
        <f>IF('E-Barrows'!A167&lt;'Adj-Barrows'!$B$10,'E-Barrows'!C167," ")</f>
        <v xml:space="preserve"> </v>
      </c>
      <c r="D167" s="28" t="str">
        <f>IF('E-Barrows'!A167&lt;'Adj-Barrows'!$B$10,'E-Barrows'!G167," ")</f>
        <v xml:space="preserve"> </v>
      </c>
      <c r="E167" s="27" t="str">
        <f>IF('E-Barrows'!A167&lt;'Adj-Barrows'!$B$10,'E-Barrows'!D167," ")</f>
        <v xml:space="preserve"> </v>
      </c>
      <c r="F167" s="27"/>
      <c r="G167" s="92" t="str">
        <f t="shared" si="9"/>
        <v xml:space="preserve"> </v>
      </c>
      <c r="H167" s="28" t="str">
        <f>IF('E-Barrows'!A167&lt;'Adj-Barrows'!$B$10,'E-Barrows'!I167," ")</f>
        <v xml:space="preserve"> </v>
      </c>
      <c r="I167" s="24" t="str">
        <f>IF('E-Barrows'!A167&lt;'Adj-Barrows'!$B$10,'E-Barrows'!A167," ")</f>
        <v xml:space="preserve"> </v>
      </c>
      <c r="J167" s="26" t="str">
        <f>IF('E-Barrows'!A167&lt;'Adj-Barrows'!$B$10,'E-Barrows'!J167," ")</f>
        <v xml:space="preserve"> </v>
      </c>
      <c r="K167" s="28" t="str">
        <f>IF('E-Barrows'!A167&lt;'Adj-Barrows'!$B$10,'E-Barrows'!N167," ")</f>
        <v xml:space="preserve"> </v>
      </c>
      <c r="L167" s="27" t="str">
        <f>IF('E-Barrows'!A167&lt;'Adj-Barrows'!$B$10,'E-Barrows'!K167," ")</f>
        <v xml:space="preserve"> </v>
      </c>
      <c r="M167" s="28" t="str">
        <f>IF('E-Barrows'!A167&lt;'Adj-Barrows'!$B$10,'E-Barrows'!M167," ")</f>
        <v xml:space="preserve"> </v>
      </c>
      <c r="N167" s="30" t="str">
        <f>IF('E-Barrows'!A167&lt;'Adj-Barrows'!$B$10,1/L167," ")</f>
        <v xml:space="preserve"> </v>
      </c>
      <c r="P167" s="31" t="str">
        <f t="shared" si="10"/>
        <v/>
      </c>
      <c r="Q167" s="31" t="str">
        <f t="shared" si="11"/>
        <v/>
      </c>
      <c r="R167" s="31" t="str">
        <f t="shared" si="12"/>
        <v/>
      </c>
    </row>
    <row r="168" spans="1:18" x14ac:dyDescent="0.25">
      <c r="A168" s="28" t="str">
        <f>IF('E-Barrows'!A168&lt;'Adj-Barrows'!$B$10,'E-Barrows'!B168," ")</f>
        <v xml:space="preserve"> </v>
      </c>
      <c r="B168" s="26" t="str">
        <f>IF('E-Barrows'!A168&lt;'Adj-Barrows'!$B$10,'E-Barrows'!A168," ")</f>
        <v xml:space="preserve"> </v>
      </c>
      <c r="C168" s="26" t="str">
        <f>IF('E-Barrows'!A168&lt;'Adj-Barrows'!$B$10,'E-Barrows'!C168," ")</f>
        <v xml:space="preserve"> </v>
      </c>
      <c r="D168" s="28" t="str">
        <f>IF('E-Barrows'!A168&lt;'Adj-Barrows'!$B$10,'E-Barrows'!G168," ")</f>
        <v xml:space="preserve"> </v>
      </c>
      <c r="E168" s="27" t="str">
        <f>IF('E-Barrows'!A168&lt;'Adj-Barrows'!$B$10,'E-Barrows'!D168," ")</f>
        <v xml:space="preserve"> </v>
      </c>
      <c r="F168" s="27"/>
      <c r="G168" s="92" t="str">
        <f t="shared" si="9"/>
        <v xml:space="preserve"> </v>
      </c>
      <c r="H168" s="28" t="str">
        <f>IF('E-Barrows'!A168&lt;'Adj-Barrows'!$B$10,'E-Barrows'!I168," ")</f>
        <v xml:space="preserve"> </v>
      </c>
      <c r="I168" s="24" t="str">
        <f>IF('E-Barrows'!A168&lt;'Adj-Barrows'!$B$10,'E-Barrows'!A168," ")</f>
        <v xml:space="preserve"> </v>
      </c>
      <c r="J168" s="26" t="str">
        <f>IF('E-Barrows'!A168&lt;'Adj-Barrows'!$B$10,'E-Barrows'!J168," ")</f>
        <v xml:space="preserve"> </v>
      </c>
      <c r="K168" s="28" t="str">
        <f>IF('E-Barrows'!A168&lt;'Adj-Barrows'!$B$10,'E-Barrows'!N168," ")</f>
        <v xml:space="preserve"> </v>
      </c>
      <c r="L168" s="27" t="str">
        <f>IF('E-Barrows'!A168&lt;'Adj-Barrows'!$B$10,'E-Barrows'!K168," ")</f>
        <v xml:space="preserve"> </v>
      </c>
      <c r="M168" s="28" t="str">
        <f>IF('E-Barrows'!A168&lt;'Adj-Barrows'!$B$10,'E-Barrows'!M168," ")</f>
        <v xml:space="preserve"> </v>
      </c>
      <c r="N168" s="30" t="str">
        <f>IF('E-Barrows'!A168&lt;'Adj-Barrows'!$B$10,1/L168," ")</f>
        <v xml:space="preserve"> </v>
      </c>
      <c r="P168" s="31" t="str">
        <f t="shared" si="10"/>
        <v/>
      </c>
      <c r="Q168" s="31" t="str">
        <f t="shared" si="11"/>
        <v/>
      </c>
      <c r="R168" s="31" t="str">
        <f t="shared" si="12"/>
        <v/>
      </c>
    </row>
    <row r="169" spans="1:18" x14ac:dyDescent="0.25">
      <c r="A169" s="28" t="str">
        <f>IF('E-Barrows'!A169&lt;'Adj-Barrows'!$B$10,'E-Barrows'!B169," ")</f>
        <v xml:space="preserve"> </v>
      </c>
      <c r="B169" s="26" t="str">
        <f>IF('E-Barrows'!A169&lt;'Adj-Barrows'!$B$10,'E-Barrows'!A169," ")</f>
        <v xml:space="preserve"> </v>
      </c>
      <c r="C169" s="26" t="str">
        <f>IF('E-Barrows'!A169&lt;'Adj-Barrows'!$B$10,'E-Barrows'!C169," ")</f>
        <v xml:space="preserve"> </v>
      </c>
      <c r="D169" s="28" t="str">
        <f>IF('E-Barrows'!A169&lt;'Adj-Barrows'!$B$10,'E-Barrows'!G169," ")</f>
        <v xml:space="preserve"> </v>
      </c>
      <c r="E169" s="27" t="str">
        <f>IF('E-Barrows'!A169&lt;'Adj-Barrows'!$B$10,'E-Barrows'!D169," ")</f>
        <v xml:space="preserve"> </v>
      </c>
      <c r="F169" s="27"/>
      <c r="G169" s="92" t="str">
        <f t="shared" si="9"/>
        <v xml:space="preserve"> </v>
      </c>
      <c r="H169" s="28" t="str">
        <f>IF('E-Barrows'!A169&lt;'Adj-Barrows'!$B$10,'E-Barrows'!I169," ")</f>
        <v xml:space="preserve"> </v>
      </c>
      <c r="I169" s="24" t="str">
        <f>IF('E-Barrows'!A169&lt;'Adj-Barrows'!$B$10,'E-Barrows'!A169," ")</f>
        <v xml:space="preserve"> </v>
      </c>
      <c r="J169" s="26" t="str">
        <f>IF('E-Barrows'!A169&lt;'Adj-Barrows'!$B$10,'E-Barrows'!J169," ")</f>
        <v xml:space="preserve"> </v>
      </c>
      <c r="K169" s="28" t="str">
        <f>IF('E-Barrows'!A169&lt;'Adj-Barrows'!$B$10,'E-Barrows'!N169," ")</f>
        <v xml:space="preserve"> </v>
      </c>
      <c r="L169" s="27" t="str">
        <f>IF('E-Barrows'!A169&lt;'Adj-Barrows'!$B$10,'E-Barrows'!K169," ")</f>
        <v xml:space="preserve"> </v>
      </c>
      <c r="M169" s="28" t="str">
        <f>IF('E-Barrows'!A169&lt;'Adj-Barrows'!$B$10,'E-Barrows'!M169," ")</f>
        <v xml:space="preserve"> </v>
      </c>
      <c r="N169" s="30" t="str">
        <f>IF('E-Barrows'!A169&lt;'Adj-Barrows'!$B$10,1/L169," ")</f>
        <v xml:space="preserve"> </v>
      </c>
      <c r="P169" s="31" t="str">
        <f t="shared" si="10"/>
        <v/>
      </c>
      <c r="Q169" s="31" t="str">
        <f t="shared" si="11"/>
        <v/>
      </c>
      <c r="R169" s="31" t="str">
        <f t="shared" si="12"/>
        <v/>
      </c>
    </row>
    <row r="170" spans="1:18" x14ac:dyDescent="0.25">
      <c r="A170" s="28" t="str">
        <f>IF('E-Barrows'!A170&lt;'Adj-Barrows'!$B$10,'E-Barrows'!B170," ")</f>
        <v xml:space="preserve"> </v>
      </c>
      <c r="B170" s="26" t="str">
        <f>IF('E-Barrows'!A170&lt;'Adj-Barrows'!$B$10,'E-Barrows'!A170," ")</f>
        <v xml:space="preserve"> </v>
      </c>
      <c r="C170" s="26" t="str">
        <f>IF('E-Barrows'!A170&lt;'Adj-Barrows'!$B$10,'E-Barrows'!C170," ")</f>
        <v xml:space="preserve"> </v>
      </c>
      <c r="D170" s="28" t="str">
        <f>IF('E-Barrows'!A170&lt;'Adj-Barrows'!$B$10,'E-Barrows'!G170," ")</f>
        <v xml:space="preserve"> </v>
      </c>
      <c r="E170" s="27" t="str">
        <f>IF('E-Barrows'!A170&lt;'Adj-Barrows'!$B$10,'E-Barrows'!D170," ")</f>
        <v xml:space="preserve"> </v>
      </c>
      <c r="F170" s="27"/>
      <c r="G170" s="92" t="str">
        <f t="shared" si="9"/>
        <v xml:space="preserve"> </v>
      </c>
      <c r="H170" s="28" t="str">
        <f>IF('E-Barrows'!A170&lt;'Adj-Barrows'!$B$10,'E-Barrows'!I170," ")</f>
        <v xml:space="preserve"> </v>
      </c>
      <c r="I170" s="24" t="str">
        <f>IF('E-Barrows'!A170&lt;'Adj-Barrows'!$B$10,'E-Barrows'!A170," ")</f>
        <v xml:space="preserve"> </v>
      </c>
      <c r="J170" s="26" t="str">
        <f>IF('E-Barrows'!A170&lt;'Adj-Barrows'!$B$10,'E-Barrows'!J170," ")</f>
        <v xml:space="preserve"> </v>
      </c>
      <c r="K170" s="28" t="str">
        <f>IF('E-Barrows'!A170&lt;'Adj-Barrows'!$B$10,'E-Barrows'!N170," ")</f>
        <v xml:space="preserve"> </v>
      </c>
      <c r="L170" s="27" t="str">
        <f>IF('E-Barrows'!A170&lt;'Adj-Barrows'!$B$10,'E-Barrows'!K170," ")</f>
        <v xml:space="preserve"> </v>
      </c>
      <c r="M170" s="28" t="str">
        <f>IF('E-Barrows'!A170&lt;'Adj-Barrows'!$B$10,'E-Barrows'!M170," ")</f>
        <v xml:space="preserve"> </v>
      </c>
      <c r="N170" s="30" t="str">
        <f>IF('E-Barrows'!A170&lt;'Adj-Barrows'!$B$10,1/L170," ")</f>
        <v xml:space="preserve"> </v>
      </c>
      <c r="P170" s="31" t="str">
        <f t="shared" si="10"/>
        <v/>
      </c>
      <c r="Q170" s="31" t="str">
        <f t="shared" si="11"/>
        <v/>
      </c>
      <c r="R170" s="31" t="str">
        <f t="shared" si="12"/>
        <v/>
      </c>
    </row>
    <row r="171" spans="1:18" x14ac:dyDescent="0.25">
      <c r="A171" s="28" t="str">
        <f>IF('E-Barrows'!A171&lt;'Adj-Barrows'!$B$10,'E-Barrows'!B171," ")</f>
        <v xml:space="preserve"> </v>
      </c>
      <c r="B171" s="26" t="str">
        <f>IF('E-Barrows'!A171&lt;'Adj-Barrows'!$B$10,'E-Barrows'!A171," ")</f>
        <v xml:space="preserve"> </v>
      </c>
      <c r="C171" s="26" t="str">
        <f>IF('E-Barrows'!A171&lt;'Adj-Barrows'!$B$10,'E-Barrows'!C171," ")</f>
        <v xml:space="preserve"> </v>
      </c>
      <c r="D171" s="28" t="str">
        <f>IF('E-Barrows'!A171&lt;'Adj-Barrows'!$B$10,'E-Barrows'!G171," ")</f>
        <v xml:space="preserve"> </v>
      </c>
      <c r="E171" s="27" t="str">
        <f>IF('E-Barrows'!A171&lt;'Adj-Barrows'!$B$10,'E-Barrows'!D171," ")</f>
        <v xml:space="preserve"> </v>
      </c>
      <c r="F171" s="27"/>
      <c r="G171" s="92" t="str">
        <f t="shared" si="9"/>
        <v xml:space="preserve"> </v>
      </c>
      <c r="H171" s="28" t="str">
        <f>IF('E-Barrows'!A171&lt;'Adj-Barrows'!$B$10,'E-Barrows'!I171," ")</f>
        <v xml:space="preserve"> </v>
      </c>
      <c r="I171" s="24" t="str">
        <f>IF('E-Barrows'!A171&lt;'Adj-Barrows'!$B$10,'E-Barrows'!A171," ")</f>
        <v xml:space="preserve"> </v>
      </c>
      <c r="J171" s="26" t="str">
        <f>IF('E-Barrows'!A171&lt;'Adj-Barrows'!$B$10,'E-Barrows'!J171," ")</f>
        <v xml:space="preserve"> </v>
      </c>
      <c r="K171" s="28" t="str">
        <f>IF('E-Barrows'!A171&lt;'Adj-Barrows'!$B$10,'E-Barrows'!N171," ")</f>
        <v xml:space="preserve"> </v>
      </c>
      <c r="L171" s="27" t="str">
        <f>IF('E-Barrows'!A171&lt;'Adj-Barrows'!$B$10,'E-Barrows'!K171," ")</f>
        <v xml:space="preserve"> </v>
      </c>
      <c r="M171" s="28" t="str">
        <f>IF('E-Barrows'!A171&lt;'Adj-Barrows'!$B$10,'E-Barrows'!M171," ")</f>
        <v xml:space="preserve"> </v>
      </c>
      <c r="N171" s="30" t="str">
        <f>IF('E-Barrows'!A171&lt;'Adj-Barrows'!$B$10,1/L171," ")</f>
        <v xml:space="preserve"> </v>
      </c>
      <c r="P171" s="31" t="str">
        <f t="shared" si="10"/>
        <v/>
      </c>
      <c r="Q171" s="31" t="str">
        <f t="shared" si="11"/>
        <v/>
      </c>
      <c r="R171" s="31" t="str">
        <f t="shared" si="12"/>
        <v/>
      </c>
    </row>
    <row r="172" spans="1:18" x14ac:dyDescent="0.25">
      <c r="A172" s="28" t="str">
        <f>IF('E-Barrows'!A172&lt;'Adj-Barrows'!$B$10,'E-Barrows'!B172," ")</f>
        <v xml:space="preserve"> </v>
      </c>
      <c r="B172" s="26" t="str">
        <f>IF('E-Barrows'!A172&lt;'Adj-Barrows'!$B$10,'E-Barrows'!A172," ")</f>
        <v xml:space="preserve"> </v>
      </c>
      <c r="C172" s="26" t="str">
        <f>IF('E-Barrows'!A172&lt;'Adj-Barrows'!$B$10,'E-Barrows'!C172," ")</f>
        <v xml:space="preserve"> </v>
      </c>
      <c r="D172" s="28" t="str">
        <f>IF('E-Barrows'!A172&lt;'Adj-Barrows'!$B$10,'E-Barrows'!G172," ")</f>
        <v xml:space="preserve"> </v>
      </c>
      <c r="E172" s="27" t="str">
        <f>IF('E-Barrows'!A172&lt;'Adj-Barrows'!$B$10,'E-Barrows'!D172," ")</f>
        <v xml:space="preserve"> </v>
      </c>
      <c r="F172" s="27"/>
      <c r="G172" s="92" t="str">
        <f t="shared" si="9"/>
        <v xml:space="preserve"> </v>
      </c>
      <c r="H172" s="28" t="str">
        <f>IF('E-Barrows'!A172&lt;'Adj-Barrows'!$B$10,'E-Barrows'!I172," ")</f>
        <v xml:space="preserve"> </v>
      </c>
      <c r="I172" s="24" t="str">
        <f>IF('E-Barrows'!A172&lt;'Adj-Barrows'!$B$10,'E-Barrows'!A172," ")</f>
        <v xml:space="preserve"> </v>
      </c>
      <c r="J172" s="26" t="str">
        <f>IF('E-Barrows'!A172&lt;'Adj-Barrows'!$B$10,'E-Barrows'!J172," ")</f>
        <v xml:space="preserve"> </v>
      </c>
      <c r="K172" s="28" t="str">
        <f>IF('E-Barrows'!A172&lt;'Adj-Barrows'!$B$10,'E-Barrows'!N172," ")</f>
        <v xml:space="preserve"> </v>
      </c>
      <c r="L172" s="27" t="str">
        <f>IF('E-Barrows'!A172&lt;'Adj-Barrows'!$B$10,'E-Barrows'!K172," ")</f>
        <v xml:space="preserve"> </v>
      </c>
      <c r="M172" s="28" t="str">
        <f>IF('E-Barrows'!A172&lt;'Adj-Barrows'!$B$10,'E-Barrows'!M172," ")</f>
        <v xml:space="preserve"> </v>
      </c>
      <c r="N172" s="30" t="str">
        <f>IF('E-Barrows'!A172&lt;'Adj-Barrows'!$B$10,1/L172," ")</f>
        <v xml:space="preserve"> </v>
      </c>
      <c r="P172" s="31" t="str">
        <f t="shared" si="10"/>
        <v/>
      </c>
      <c r="Q172" s="31" t="str">
        <f t="shared" si="11"/>
        <v/>
      </c>
      <c r="R172" s="31" t="str">
        <f t="shared" si="12"/>
        <v/>
      </c>
    </row>
    <row r="173" spans="1:18" x14ac:dyDescent="0.25">
      <c r="A173" s="28" t="str">
        <f>IF('E-Barrows'!A173&lt;'Adj-Barrows'!$B$10,'E-Barrows'!B173," ")</f>
        <v xml:space="preserve"> </v>
      </c>
      <c r="B173" s="26" t="str">
        <f>IF('E-Barrows'!A173&lt;'Adj-Barrows'!$B$10,'E-Barrows'!A173," ")</f>
        <v xml:space="preserve"> </v>
      </c>
      <c r="C173" s="26" t="str">
        <f>IF('E-Barrows'!A173&lt;'Adj-Barrows'!$B$10,'E-Barrows'!C173," ")</f>
        <v xml:space="preserve"> </v>
      </c>
      <c r="D173" s="28" t="str">
        <f>IF('E-Barrows'!A173&lt;'Adj-Barrows'!$B$10,'E-Barrows'!G173," ")</f>
        <v xml:space="preserve"> </v>
      </c>
      <c r="E173" s="27" t="str">
        <f>IF('E-Barrows'!A173&lt;'Adj-Barrows'!$B$10,'E-Barrows'!D173," ")</f>
        <v xml:space="preserve"> </v>
      </c>
      <c r="F173" s="27"/>
      <c r="G173" s="92" t="str">
        <f t="shared" si="9"/>
        <v xml:space="preserve"> </v>
      </c>
      <c r="H173" s="28" t="str">
        <f>IF('E-Barrows'!A173&lt;'Adj-Barrows'!$B$10,'E-Barrows'!I173," ")</f>
        <v xml:space="preserve"> </v>
      </c>
      <c r="I173" s="24" t="str">
        <f>IF('E-Barrows'!A173&lt;'Adj-Barrows'!$B$10,'E-Barrows'!A173," ")</f>
        <v xml:space="preserve"> </v>
      </c>
      <c r="J173" s="26" t="str">
        <f>IF('E-Barrows'!A173&lt;'Adj-Barrows'!$B$10,'E-Barrows'!J173," ")</f>
        <v xml:space="preserve"> </v>
      </c>
      <c r="K173" s="28" t="str">
        <f>IF('E-Barrows'!A173&lt;'Adj-Barrows'!$B$10,'E-Barrows'!N173," ")</f>
        <v xml:space="preserve"> </v>
      </c>
      <c r="L173" s="27" t="str">
        <f>IF('E-Barrows'!A173&lt;'Adj-Barrows'!$B$10,'E-Barrows'!K173," ")</f>
        <v xml:space="preserve"> </v>
      </c>
      <c r="M173" s="28" t="str">
        <f>IF('E-Barrows'!A173&lt;'Adj-Barrows'!$B$10,'E-Barrows'!M173," ")</f>
        <v xml:space="preserve"> </v>
      </c>
      <c r="N173" s="30" t="str">
        <f>IF('E-Barrows'!A173&lt;'Adj-Barrows'!$B$10,1/L173," ")</f>
        <v xml:space="preserve"> </v>
      </c>
      <c r="P173" s="31" t="str">
        <f t="shared" si="10"/>
        <v/>
      </c>
      <c r="Q173" s="31" t="str">
        <f t="shared" si="11"/>
        <v/>
      </c>
      <c r="R173" s="31" t="str">
        <f t="shared" si="12"/>
        <v/>
      </c>
    </row>
    <row r="174" spans="1:18" x14ac:dyDescent="0.25">
      <c r="A174" s="28" t="str">
        <f>IF('E-Barrows'!A174&lt;'Adj-Barrows'!$B$10,'E-Barrows'!B174," ")</f>
        <v xml:space="preserve"> </v>
      </c>
      <c r="B174" s="26" t="str">
        <f>IF('E-Barrows'!A174&lt;'Adj-Barrows'!$B$10,'E-Barrows'!A174," ")</f>
        <v xml:space="preserve"> </v>
      </c>
      <c r="C174" s="26" t="str">
        <f>IF('E-Barrows'!A174&lt;'Adj-Barrows'!$B$10,'E-Barrows'!C174," ")</f>
        <v xml:space="preserve"> </v>
      </c>
      <c r="D174" s="28" t="str">
        <f>IF('E-Barrows'!A174&lt;'Adj-Barrows'!$B$10,'E-Barrows'!G174," ")</f>
        <v xml:space="preserve"> </v>
      </c>
      <c r="E174" s="27" t="str">
        <f>IF('E-Barrows'!A174&lt;'Adj-Barrows'!$B$10,'E-Barrows'!D174," ")</f>
        <v xml:space="preserve"> </v>
      </c>
      <c r="F174" s="27"/>
      <c r="G174" s="92" t="str">
        <f t="shared" si="9"/>
        <v xml:space="preserve"> </v>
      </c>
      <c r="H174" s="28" t="str">
        <f>IF('E-Barrows'!A174&lt;'Adj-Barrows'!$B$10,'E-Barrows'!I174," ")</f>
        <v xml:space="preserve"> </v>
      </c>
      <c r="I174" s="24" t="str">
        <f>IF('E-Barrows'!A174&lt;'Adj-Barrows'!$B$10,'E-Barrows'!A174," ")</f>
        <v xml:space="preserve"> </v>
      </c>
      <c r="J174" s="26" t="str">
        <f>IF('E-Barrows'!A174&lt;'Adj-Barrows'!$B$10,'E-Barrows'!J174," ")</f>
        <v xml:space="preserve"> </v>
      </c>
      <c r="K174" s="28" t="str">
        <f>IF('E-Barrows'!A174&lt;'Adj-Barrows'!$B$10,'E-Barrows'!N174," ")</f>
        <v xml:space="preserve"> </v>
      </c>
      <c r="L174" s="27" t="str">
        <f>IF('E-Barrows'!A174&lt;'Adj-Barrows'!$B$10,'E-Barrows'!K174," ")</f>
        <v xml:space="preserve"> </v>
      </c>
      <c r="M174" s="28" t="str">
        <f>IF('E-Barrows'!A174&lt;'Adj-Barrows'!$B$10,'E-Barrows'!M174," ")</f>
        <v xml:space="preserve"> </v>
      </c>
      <c r="N174" s="30" t="str">
        <f>IF('E-Barrows'!A174&lt;'Adj-Barrows'!$B$10,1/L174," ")</f>
        <v xml:space="preserve"> </v>
      </c>
      <c r="P174" s="31" t="str">
        <f t="shared" si="10"/>
        <v/>
      </c>
      <c r="Q174" s="31" t="str">
        <f t="shared" si="11"/>
        <v/>
      </c>
      <c r="R174" s="31" t="str">
        <f t="shared" si="12"/>
        <v/>
      </c>
    </row>
    <row r="175" spans="1:18" x14ac:dyDescent="0.25">
      <c r="A175" s="28" t="str">
        <f>IF('E-Barrows'!A175&lt;'Adj-Barrows'!$B$10,'E-Barrows'!B175," ")</f>
        <v xml:space="preserve"> </v>
      </c>
      <c r="B175" s="26" t="str">
        <f>IF('E-Barrows'!A175&lt;'Adj-Barrows'!$B$10,'E-Barrows'!A175," ")</f>
        <v xml:space="preserve"> </v>
      </c>
      <c r="C175" s="26" t="str">
        <f>IF('E-Barrows'!A175&lt;'Adj-Barrows'!$B$10,'E-Barrows'!C175," ")</f>
        <v xml:space="preserve"> </v>
      </c>
      <c r="D175" s="28" t="str">
        <f>IF('E-Barrows'!A175&lt;'Adj-Barrows'!$B$10,'E-Barrows'!G175," ")</f>
        <v xml:space="preserve"> </v>
      </c>
      <c r="E175" s="27" t="str">
        <f>IF('E-Barrows'!A175&lt;'Adj-Barrows'!$B$10,'E-Barrows'!D175," ")</f>
        <v xml:space="preserve"> </v>
      </c>
      <c r="F175" s="27"/>
      <c r="G175" s="92" t="str">
        <f t="shared" si="9"/>
        <v xml:space="preserve"> </v>
      </c>
      <c r="H175" s="28" t="str">
        <f>IF('E-Barrows'!A175&lt;'Adj-Barrows'!$B$10,'E-Barrows'!I175," ")</f>
        <v xml:space="preserve"> </v>
      </c>
      <c r="I175" s="24" t="str">
        <f>IF('E-Barrows'!A175&lt;'Adj-Barrows'!$B$10,'E-Barrows'!A175," ")</f>
        <v xml:space="preserve"> </v>
      </c>
      <c r="J175" s="26" t="str">
        <f>IF('E-Barrows'!A175&lt;'Adj-Barrows'!$B$10,'E-Barrows'!J175," ")</f>
        <v xml:space="preserve"> </v>
      </c>
      <c r="K175" s="28" t="str">
        <f>IF('E-Barrows'!A175&lt;'Adj-Barrows'!$B$10,'E-Barrows'!N175," ")</f>
        <v xml:space="preserve"> </v>
      </c>
      <c r="L175" s="27" t="str">
        <f>IF('E-Barrows'!A175&lt;'Adj-Barrows'!$B$10,'E-Barrows'!K175," ")</f>
        <v xml:space="preserve"> </v>
      </c>
      <c r="M175" s="28" t="str">
        <f>IF('E-Barrows'!A175&lt;'Adj-Barrows'!$B$10,'E-Barrows'!M175," ")</f>
        <v xml:space="preserve"> </v>
      </c>
      <c r="N175" s="30" t="str">
        <f>IF('E-Barrows'!A175&lt;'Adj-Barrows'!$B$10,1/L175," ")</f>
        <v xml:space="preserve"> </v>
      </c>
      <c r="P175" s="31" t="str">
        <f t="shared" si="10"/>
        <v/>
      </c>
      <c r="Q175" s="31" t="str">
        <f t="shared" si="11"/>
        <v/>
      </c>
      <c r="R175" s="31" t="str">
        <f t="shared" si="12"/>
        <v/>
      </c>
    </row>
    <row r="176" spans="1:18" x14ac:dyDescent="0.25">
      <c r="A176" s="28" t="str">
        <f>IF('E-Barrows'!A176&lt;'Adj-Barrows'!$B$10,'E-Barrows'!B176," ")</f>
        <v xml:space="preserve"> </v>
      </c>
      <c r="B176" s="26" t="str">
        <f>IF('E-Barrows'!A176&lt;'Adj-Barrows'!$B$10,'E-Barrows'!A176," ")</f>
        <v xml:space="preserve"> </v>
      </c>
      <c r="C176" s="26" t="str">
        <f>IF('E-Barrows'!A176&lt;'Adj-Barrows'!$B$10,'E-Barrows'!C176," ")</f>
        <v xml:space="preserve"> </v>
      </c>
      <c r="D176" s="28" t="str">
        <f>IF('E-Barrows'!A176&lt;'Adj-Barrows'!$B$10,'E-Barrows'!G176," ")</f>
        <v xml:space="preserve"> </v>
      </c>
      <c r="E176" s="27" t="str">
        <f>IF('E-Barrows'!A176&lt;'Adj-Barrows'!$B$10,'E-Barrows'!D176," ")</f>
        <v xml:space="preserve"> </v>
      </c>
      <c r="F176" s="27"/>
      <c r="G176" s="92" t="str">
        <f t="shared" si="9"/>
        <v xml:space="preserve"> </v>
      </c>
      <c r="H176" s="28" t="str">
        <f>IF('E-Barrows'!A176&lt;'Adj-Barrows'!$B$10,'E-Barrows'!I176," ")</f>
        <v xml:space="preserve"> </v>
      </c>
      <c r="I176" s="24" t="str">
        <f>IF('E-Barrows'!A176&lt;'Adj-Barrows'!$B$10,'E-Barrows'!A176," ")</f>
        <v xml:space="preserve"> </v>
      </c>
      <c r="J176" s="26" t="str">
        <f>IF('E-Barrows'!A176&lt;'Adj-Barrows'!$B$10,'E-Barrows'!J176," ")</f>
        <v xml:space="preserve"> </v>
      </c>
      <c r="K176" s="28" t="str">
        <f>IF('E-Barrows'!A176&lt;'Adj-Barrows'!$B$10,'E-Barrows'!N176," ")</f>
        <v xml:space="preserve"> </v>
      </c>
      <c r="L176" s="27" t="str">
        <f>IF('E-Barrows'!A176&lt;'Adj-Barrows'!$B$10,'E-Barrows'!K176," ")</f>
        <v xml:space="preserve"> </v>
      </c>
      <c r="M176" s="28" t="str">
        <f>IF('E-Barrows'!A176&lt;'Adj-Barrows'!$B$10,'E-Barrows'!M176," ")</f>
        <v xml:space="preserve"> </v>
      </c>
      <c r="N176" s="30" t="str">
        <f>IF('E-Barrows'!A176&lt;'Adj-Barrows'!$B$10,1/L176," ")</f>
        <v xml:space="preserve"> </v>
      </c>
      <c r="P176" s="31" t="str">
        <f t="shared" si="10"/>
        <v/>
      </c>
      <c r="Q176" s="31" t="str">
        <f t="shared" si="11"/>
        <v/>
      </c>
      <c r="R176" s="31" t="str">
        <f t="shared" si="12"/>
        <v/>
      </c>
    </row>
    <row r="177" spans="1:18" x14ac:dyDescent="0.25">
      <c r="A177" s="28" t="str">
        <f>IF('E-Barrows'!A177&lt;'Adj-Barrows'!$B$10,'E-Barrows'!B177," ")</f>
        <v xml:space="preserve"> </v>
      </c>
      <c r="B177" s="26" t="str">
        <f>IF('E-Barrows'!A177&lt;'Adj-Barrows'!$B$10,'E-Barrows'!A177," ")</f>
        <v xml:space="preserve"> </v>
      </c>
      <c r="C177" s="26" t="str">
        <f>IF('E-Barrows'!A177&lt;'Adj-Barrows'!$B$10,'E-Barrows'!C177," ")</f>
        <v xml:space="preserve"> </v>
      </c>
      <c r="D177" s="28" t="str">
        <f>IF('E-Barrows'!A177&lt;'Adj-Barrows'!$B$10,'E-Barrows'!G177," ")</f>
        <v xml:space="preserve"> </v>
      </c>
      <c r="E177" s="27" t="str">
        <f>IF('E-Barrows'!A177&lt;'Adj-Barrows'!$B$10,'E-Barrows'!D177," ")</f>
        <v xml:space="preserve"> </v>
      </c>
      <c r="F177" s="27"/>
      <c r="G177" s="92" t="str">
        <f t="shared" si="9"/>
        <v xml:space="preserve"> </v>
      </c>
      <c r="H177" s="28" t="str">
        <f>IF('E-Barrows'!A177&lt;'Adj-Barrows'!$B$10,'E-Barrows'!I177," ")</f>
        <v xml:space="preserve"> </v>
      </c>
      <c r="I177" s="24" t="str">
        <f>IF('E-Barrows'!A177&lt;'Adj-Barrows'!$B$10,'E-Barrows'!A177," ")</f>
        <v xml:space="preserve"> </v>
      </c>
      <c r="J177" s="26" t="str">
        <f>IF('E-Barrows'!A177&lt;'Adj-Barrows'!$B$10,'E-Barrows'!J177," ")</f>
        <v xml:space="preserve"> </v>
      </c>
      <c r="K177" s="28" t="str">
        <f>IF('E-Barrows'!A177&lt;'Adj-Barrows'!$B$10,'E-Barrows'!N177," ")</f>
        <v xml:space="preserve"> </v>
      </c>
      <c r="L177" s="27" t="str">
        <f>IF('E-Barrows'!A177&lt;'Adj-Barrows'!$B$10,'E-Barrows'!K177," ")</f>
        <v xml:space="preserve"> </v>
      </c>
      <c r="M177" s="28" t="str">
        <f>IF('E-Barrows'!A177&lt;'Adj-Barrows'!$B$10,'E-Barrows'!M177," ")</f>
        <v xml:space="preserve"> </v>
      </c>
      <c r="N177" s="30" t="str">
        <f>IF('E-Barrows'!A177&lt;'Adj-Barrows'!$B$10,1/L177," ")</f>
        <v xml:space="preserve"> </v>
      </c>
      <c r="P177" s="31" t="str">
        <f t="shared" si="10"/>
        <v/>
      </c>
      <c r="Q177" s="31" t="str">
        <f t="shared" si="11"/>
        <v/>
      </c>
      <c r="R177" s="31" t="str">
        <f t="shared" si="12"/>
        <v/>
      </c>
    </row>
    <row r="178" spans="1:18" x14ac:dyDescent="0.25">
      <c r="A178" s="28" t="str">
        <f>IF('E-Barrows'!A178&lt;'Adj-Barrows'!$B$10,'E-Barrows'!B178," ")</f>
        <v xml:space="preserve"> </v>
      </c>
      <c r="B178" s="26" t="str">
        <f>IF('E-Barrows'!A178&lt;'Adj-Barrows'!$B$10,'E-Barrows'!A178," ")</f>
        <v xml:space="preserve"> </v>
      </c>
      <c r="C178" s="26" t="str">
        <f>IF('E-Barrows'!A178&lt;'Adj-Barrows'!$B$10,'E-Barrows'!C178," ")</f>
        <v xml:space="preserve"> </v>
      </c>
      <c r="D178" s="28" t="str">
        <f>IF('E-Barrows'!A178&lt;'Adj-Barrows'!$B$10,'E-Barrows'!G178," ")</f>
        <v xml:space="preserve"> </v>
      </c>
      <c r="E178" s="27" t="str">
        <f>IF('E-Barrows'!A178&lt;'Adj-Barrows'!$B$10,'E-Barrows'!D178," ")</f>
        <v xml:space="preserve"> </v>
      </c>
      <c r="F178" s="27"/>
      <c r="G178" s="92" t="str">
        <f t="shared" si="9"/>
        <v xml:space="preserve"> </v>
      </c>
      <c r="H178" s="28" t="str">
        <f>IF('E-Barrows'!A178&lt;'Adj-Barrows'!$B$10,'E-Barrows'!I178," ")</f>
        <v xml:space="preserve"> </v>
      </c>
      <c r="I178" s="24" t="str">
        <f>IF('E-Barrows'!A178&lt;'Adj-Barrows'!$B$10,'E-Barrows'!A178," ")</f>
        <v xml:space="preserve"> </v>
      </c>
      <c r="J178" s="26" t="str">
        <f>IF('E-Barrows'!A178&lt;'Adj-Barrows'!$B$10,'E-Barrows'!J178," ")</f>
        <v xml:space="preserve"> </v>
      </c>
      <c r="K178" s="28" t="str">
        <f>IF('E-Barrows'!A178&lt;'Adj-Barrows'!$B$10,'E-Barrows'!N178," ")</f>
        <v xml:space="preserve"> </v>
      </c>
      <c r="L178" s="27" t="str">
        <f>IF('E-Barrows'!A178&lt;'Adj-Barrows'!$B$10,'E-Barrows'!K178," ")</f>
        <v xml:space="preserve"> </v>
      </c>
      <c r="M178" s="28" t="str">
        <f>IF('E-Barrows'!A178&lt;'Adj-Barrows'!$B$10,'E-Barrows'!M178," ")</f>
        <v xml:space="preserve"> </v>
      </c>
      <c r="N178" s="30" t="str">
        <f>IF('E-Barrows'!A178&lt;'Adj-Barrows'!$B$10,1/L178," ")</f>
        <v xml:space="preserve"> </v>
      </c>
      <c r="P178" s="31" t="str">
        <f t="shared" si="10"/>
        <v/>
      </c>
      <c r="Q178" s="31" t="str">
        <f t="shared" si="11"/>
        <v/>
      </c>
      <c r="R178" s="31" t="str">
        <f t="shared" si="12"/>
        <v/>
      </c>
    </row>
    <row r="179" spans="1:18" x14ac:dyDescent="0.25">
      <c r="A179" s="28" t="str">
        <f>IF('E-Barrows'!A179&lt;'Adj-Barrows'!$B$10,'E-Barrows'!B179," ")</f>
        <v xml:space="preserve"> </v>
      </c>
      <c r="B179" s="26" t="str">
        <f>IF('E-Barrows'!A179&lt;'Adj-Barrows'!$B$10,'E-Barrows'!A179," ")</f>
        <v xml:space="preserve"> </v>
      </c>
      <c r="C179" s="26" t="str">
        <f>IF('E-Barrows'!A179&lt;'Adj-Barrows'!$B$10,'E-Barrows'!C179," ")</f>
        <v xml:space="preserve"> </v>
      </c>
      <c r="D179" s="28" t="str">
        <f>IF('E-Barrows'!A179&lt;'Adj-Barrows'!$B$10,'E-Barrows'!G179," ")</f>
        <v xml:space="preserve"> </v>
      </c>
      <c r="E179" s="27" t="str">
        <f>IF('E-Barrows'!A179&lt;'Adj-Barrows'!$B$10,'E-Barrows'!D179," ")</f>
        <v xml:space="preserve"> </v>
      </c>
      <c r="F179" s="27"/>
      <c r="G179" s="92" t="str">
        <f t="shared" si="9"/>
        <v xml:space="preserve"> </v>
      </c>
      <c r="H179" s="28" t="str">
        <f>IF('E-Barrows'!A179&lt;'Adj-Barrows'!$B$10,'E-Barrows'!I179," ")</f>
        <v xml:space="preserve"> </v>
      </c>
      <c r="I179" s="24" t="str">
        <f>IF('E-Barrows'!A179&lt;'Adj-Barrows'!$B$10,'E-Barrows'!A179," ")</f>
        <v xml:space="preserve"> </v>
      </c>
      <c r="J179" s="26" t="str">
        <f>IF('E-Barrows'!A179&lt;'Adj-Barrows'!$B$10,'E-Barrows'!J179," ")</f>
        <v xml:space="preserve"> </v>
      </c>
      <c r="K179" s="28" t="str">
        <f>IF('E-Barrows'!A179&lt;'Adj-Barrows'!$B$10,'E-Barrows'!N179," ")</f>
        <v xml:space="preserve"> </v>
      </c>
      <c r="L179" s="27" t="str">
        <f>IF('E-Barrows'!A179&lt;'Adj-Barrows'!$B$10,'E-Barrows'!K179," ")</f>
        <v xml:space="preserve"> </v>
      </c>
      <c r="M179" s="28" t="str">
        <f>IF('E-Barrows'!A179&lt;'Adj-Barrows'!$B$10,'E-Barrows'!M179," ")</f>
        <v xml:space="preserve"> </v>
      </c>
      <c r="N179" s="30" t="str">
        <f>IF('E-Barrows'!A179&lt;'Adj-Barrows'!$B$10,1/L179," ")</f>
        <v xml:space="preserve"> </v>
      </c>
      <c r="P179" s="31" t="str">
        <f t="shared" si="10"/>
        <v/>
      </c>
      <c r="Q179" s="31" t="str">
        <f t="shared" si="11"/>
        <v/>
      </c>
      <c r="R179" s="31" t="str">
        <f t="shared" si="12"/>
        <v/>
      </c>
    </row>
    <row r="180" spans="1:18" x14ac:dyDescent="0.25">
      <c r="A180" s="28" t="str">
        <f>IF('E-Barrows'!A180&lt;'Adj-Barrows'!$B$10,'E-Barrows'!B180," ")</f>
        <v xml:space="preserve"> </v>
      </c>
      <c r="B180" s="26" t="str">
        <f>IF('E-Barrows'!A180&lt;'Adj-Barrows'!$B$10,'E-Barrows'!A180," ")</f>
        <v xml:space="preserve"> </v>
      </c>
      <c r="C180" s="26" t="str">
        <f>IF('E-Barrows'!A180&lt;'Adj-Barrows'!$B$10,'E-Barrows'!C180," ")</f>
        <v xml:space="preserve"> </v>
      </c>
      <c r="D180" s="28" t="str">
        <f>IF('E-Barrows'!A180&lt;'Adj-Barrows'!$B$10,'E-Barrows'!G180," ")</f>
        <v xml:space="preserve"> </v>
      </c>
      <c r="E180" s="27" t="str">
        <f>IF('E-Barrows'!A180&lt;'Adj-Barrows'!$B$10,'E-Barrows'!D180," ")</f>
        <v xml:space="preserve"> </v>
      </c>
      <c r="F180" s="27"/>
      <c r="G180" s="92" t="str">
        <f t="shared" si="9"/>
        <v xml:space="preserve"> </v>
      </c>
      <c r="H180" s="28" t="str">
        <f>IF('E-Barrows'!A180&lt;'Adj-Barrows'!$B$10,'E-Barrows'!I180," ")</f>
        <v xml:space="preserve"> </v>
      </c>
      <c r="I180" s="24" t="str">
        <f>IF('E-Barrows'!A180&lt;'Adj-Barrows'!$B$10,'E-Barrows'!A180," ")</f>
        <v xml:space="preserve"> </v>
      </c>
      <c r="J180" s="26" t="str">
        <f>IF('E-Barrows'!A180&lt;'Adj-Barrows'!$B$10,'E-Barrows'!J180," ")</f>
        <v xml:space="preserve"> </v>
      </c>
      <c r="K180" s="28" t="str">
        <f>IF('E-Barrows'!A180&lt;'Adj-Barrows'!$B$10,'E-Barrows'!N180," ")</f>
        <v xml:space="preserve"> </v>
      </c>
      <c r="L180" s="27" t="str">
        <f>IF('E-Barrows'!A180&lt;'Adj-Barrows'!$B$10,'E-Barrows'!K180," ")</f>
        <v xml:space="preserve"> </v>
      </c>
      <c r="M180" s="28" t="str">
        <f>IF('E-Barrows'!A180&lt;'Adj-Barrows'!$B$10,'E-Barrows'!M180," ")</f>
        <v xml:space="preserve"> </v>
      </c>
      <c r="N180" s="30" t="str">
        <f>IF('E-Barrows'!A180&lt;'Adj-Barrows'!$B$10,1/L180," ")</f>
        <v xml:space="preserve"> </v>
      </c>
      <c r="P180" s="31" t="str">
        <f t="shared" si="10"/>
        <v/>
      </c>
      <c r="Q180" s="31" t="str">
        <f t="shared" si="11"/>
        <v/>
      </c>
      <c r="R180" s="31" t="str">
        <f t="shared" si="12"/>
        <v/>
      </c>
    </row>
    <row r="181" spans="1:18" x14ac:dyDescent="0.25">
      <c r="A181" s="28" t="str">
        <f>IF('E-Barrows'!A181&lt;'Adj-Barrows'!$B$10,'E-Barrows'!B181," ")</f>
        <v xml:space="preserve"> </v>
      </c>
      <c r="B181" s="26" t="str">
        <f>IF('E-Barrows'!A181&lt;'Adj-Barrows'!$B$10,'E-Barrows'!A181," ")</f>
        <v xml:space="preserve"> </v>
      </c>
      <c r="C181" s="26" t="str">
        <f>IF('E-Barrows'!A181&lt;'Adj-Barrows'!$B$10,'E-Barrows'!C181," ")</f>
        <v xml:space="preserve"> </v>
      </c>
      <c r="D181" s="28" t="str">
        <f>IF('E-Barrows'!A181&lt;'Adj-Barrows'!$B$10,'E-Barrows'!G181," ")</f>
        <v xml:space="preserve"> </v>
      </c>
      <c r="E181" s="27" t="str">
        <f>IF('E-Barrows'!A181&lt;'Adj-Barrows'!$B$10,'E-Barrows'!D181," ")</f>
        <v xml:space="preserve"> </v>
      </c>
      <c r="F181" s="27"/>
      <c r="G181" s="92" t="str">
        <f t="shared" si="9"/>
        <v xml:space="preserve"> </v>
      </c>
      <c r="H181" s="28" t="str">
        <f>IF('E-Barrows'!A181&lt;'Adj-Barrows'!$B$10,'E-Barrows'!I181," ")</f>
        <v xml:space="preserve"> </v>
      </c>
      <c r="I181" s="24" t="str">
        <f>IF('E-Barrows'!A181&lt;'Adj-Barrows'!$B$10,'E-Barrows'!A181," ")</f>
        <v xml:space="preserve"> </v>
      </c>
      <c r="J181" s="26" t="str">
        <f>IF('E-Barrows'!A181&lt;'Adj-Barrows'!$B$10,'E-Barrows'!J181," ")</f>
        <v xml:space="preserve"> </v>
      </c>
      <c r="K181" s="28" t="str">
        <f>IF('E-Barrows'!A181&lt;'Adj-Barrows'!$B$10,'E-Barrows'!N181," ")</f>
        <v xml:space="preserve"> </v>
      </c>
      <c r="L181" s="27" t="str">
        <f>IF('E-Barrows'!A181&lt;'Adj-Barrows'!$B$10,'E-Barrows'!K181," ")</f>
        <v xml:space="preserve"> </v>
      </c>
      <c r="M181" s="28" t="str">
        <f>IF('E-Barrows'!A181&lt;'Adj-Barrows'!$B$10,'E-Barrows'!M181," ")</f>
        <v xml:space="preserve"> </v>
      </c>
      <c r="N181" s="30" t="str">
        <f>IF('E-Barrows'!A181&lt;'Adj-Barrows'!$B$10,1/L181," ")</f>
        <v xml:space="preserve"> </v>
      </c>
      <c r="P181" s="31" t="str">
        <f t="shared" si="10"/>
        <v/>
      </c>
      <c r="Q181" s="31" t="str">
        <f t="shared" si="11"/>
        <v/>
      </c>
      <c r="R181" s="31" t="str">
        <f t="shared" si="12"/>
        <v/>
      </c>
    </row>
    <row r="182" spans="1:18" x14ac:dyDescent="0.25">
      <c r="A182" s="28" t="str">
        <f>IF('E-Barrows'!A182&lt;'Adj-Barrows'!$B$10,'E-Barrows'!B182," ")</f>
        <v xml:space="preserve"> </v>
      </c>
      <c r="B182" s="26" t="str">
        <f>IF('E-Barrows'!A182&lt;'Adj-Barrows'!$B$10,'E-Barrows'!A182," ")</f>
        <v xml:space="preserve"> </v>
      </c>
      <c r="C182" s="26" t="str">
        <f>IF('E-Barrows'!A182&lt;'Adj-Barrows'!$B$10,'E-Barrows'!C182," ")</f>
        <v xml:space="preserve"> </v>
      </c>
      <c r="D182" s="28" t="str">
        <f>IF('E-Barrows'!A182&lt;'Adj-Barrows'!$B$10,'E-Barrows'!G182," ")</f>
        <v xml:space="preserve"> </v>
      </c>
      <c r="E182" s="27" t="str">
        <f>IF('E-Barrows'!A182&lt;'Adj-Barrows'!$B$10,'E-Barrows'!D182," ")</f>
        <v xml:space="preserve"> </v>
      </c>
      <c r="F182" s="27"/>
      <c r="G182" s="92" t="str">
        <f t="shared" si="9"/>
        <v xml:space="preserve"> </v>
      </c>
      <c r="H182" s="28" t="str">
        <f>IF('E-Barrows'!A182&lt;'Adj-Barrows'!$B$10,'E-Barrows'!I182," ")</f>
        <v xml:space="preserve"> </v>
      </c>
      <c r="I182" s="24" t="str">
        <f>IF('E-Barrows'!A182&lt;'Adj-Barrows'!$B$10,'E-Barrows'!A182," ")</f>
        <v xml:space="preserve"> </v>
      </c>
      <c r="J182" s="26" t="str">
        <f>IF('E-Barrows'!A182&lt;'Adj-Barrows'!$B$10,'E-Barrows'!J182," ")</f>
        <v xml:space="preserve"> </v>
      </c>
      <c r="K182" s="28" t="str">
        <f>IF('E-Barrows'!A182&lt;'Adj-Barrows'!$B$10,'E-Barrows'!N182," ")</f>
        <v xml:space="preserve"> </v>
      </c>
      <c r="L182" s="27" t="str">
        <f>IF('E-Barrows'!A182&lt;'Adj-Barrows'!$B$10,'E-Barrows'!K182," ")</f>
        <v xml:space="preserve"> </v>
      </c>
      <c r="M182" s="28" t="str">
        <f>IF('E-Barrows'!A182&lt;'Adj-Barrows'!$B$10,'E-Barrows'!M182," ")</f>
        <v xml:space="preserve"> </v>
      </c>
      <c r="N182" s="30" t="str">
        <f>IF('E-Barrows'!A182&lt;'Adj-Barrows'!$B$10,1/L182," ")</f>
        <v xml:space="preserve"> </v>
      </c>
      <c r="P182" s="31" t="str">
        <f t="shared" si="10"/>
        <v/>
      </c>
      <c r="Q182" s="31" t="str">
        <f t="shared" si="11"/>
        <v/>
      </c>
      <c r="R182" s="31" t="str">
        <f t="shared" si="12"/>
        <v/>
      </c>
    </row>
    <row r="183" spans="1:18" x14ac:dyDescent="0.25">
      <c r="A183" s="28" t="str">
        <f>IF('E-Barrows'!A183&lt;'Adj-Barrows'!$B$10,'E-Barrows'!B183," ")</f>
        <v xml:space="preserve"> </v>
      </c>
      <c r="B183" s="26" t="str">
        <f>IF('E-Barrows'!A183&lt;'Adj-Barrows'!$B$10,'E-Barrows'!A183," ")</f>
        <v xml:space="preserve"> </v>
      </c>
      <c r="C183" s="26" t="str">
        <f>IF('E-Barrows'!A183&lt;'Adj-Barrows'!$B$10,'E-Barrows'!C183," ")</f>
        <v xml:space="preserve"> </v>
      </c>
      <c r="D183" s="28" t="str">
        <f>IF('E-Barrows'!A183&lt;'Adj-Barrows'!$B$10,'E-Barrows'!G183," ")</f>
        <v xml:space="preserve"> </v>
      </c>
      <c r="E183" s="27" t="str">
        <f>IF('E-Barrows'!A183&lt;'Adj-Barrows'!$B$10,'E-Barrows'!D183," ")</f>
        <v xml:space="preserve"> </v>
      </c>
      <c r="F183" s="27"/>
      <c r="G183" s="92" t="str">
        <f t="shared" si="9"/>
        <v xml:space="preserve"> </v>
      </c>
      <c r="H183" s="28" t="str">
        <f>IF('E-Barrows'!A183&lt;'Adj-Barrows'!$B$10,'E-Barrows'!I183," ")</f>
        <v xml:space="preserve"> </v>
      </c>
      <c r="I183" s="24" t="str">
        <f>IF('E-Barrows'!A183&lt;'Adj-Barrows'!$B$10,'E-Barrows'!A183," ")</f>
        <v xml:space="preserve"> </v>
      </c>
      <c r="J183" s="26" t="str">
        <f>IF('E-Barrows'!A183&lt;'Adj-Barrows'!$B$10,'E-Barrows'!J183," ")</f>
        <v xml:space="preserve"> </v>
      </c>
      <c r="K183" s="28" t="str">
        <f>IF('E-Barrows'!A183&lt;'Adj-Barrows'!$B$10,'E-Barrows'!N183," ")</f>
        <v xml:space="preserve"> </v>
      </c>
      <c r="L183" s="27" t="str">
        <f>IF('E-Barrows'!A183&lt;'Adj-Barrows'!$B$10,'E-Barrows'!K183," ")</f>
        <v xml:space="preserve"> </v>
      </c>
      <c r="M183" s="28" t="str">
        <f>IF('E-Barrows'!A183&lt;'Adj-Barrows'!$B$10,'E-Barrows'!M183," ")</f>
        <v xml:space="preserve"> </v>
      </c>
      <c r="N183" s="30" t="str">
        <f>IF('E-Barrows'!A183&lt;'Adj-Barrows'!$B$10,1/L183," ")</f>
        <v xml:space="preserve"> </v>
      </c>
      <c r="P183" s="31" t="str">
        <f t="shared" si="10"/>
        <v/>
      </c>
      <c r="Q183" s="31" t="str">
        <f t="shared" si="11"/>
        <v/>
      </c>
      <c r="R183" s="31" t="str">
        <f t="shared" si="12"/>
        <v/>
      </c>
    </row>
    <row r="184" spans="1:18" x14ac:dyDescent="0.25">
      <c r="A184" s="28" t="str">
        <f>IF('E-Barrows'!A184&lt;'Adj-Barrows'!$B$10,'E-Barrows'!B184," ")</f>
        <v xml:space="preserve"> </v>
      </c>
      <c r="B184" s="26" t="str">
        <f>IF('E-Barrows'!A184&lt;'Adj-Barrows'!$B$10,'E-Barrows'!A184," ")</f>
        <v xml:space="preserve"> </v>
      </c>
      <c r="C184" s="26" t="str">
        <f>IF('E-Barrows'!A184&lt;'Adj-Barrows'!$B$10,'E-Barrows'!C184," ")</f>
        <v xml:space="preserve"> </v>
      </c>
      <c r="D184" s="28" t="str">
        <f>IF('E-Barrows'!A184&lt;'Adj-Barrows'!$B$10,'E-Barrows'!G184," ")</f>
        <v xml:space="preserve"> </v>
      </c>
      <c r="E184" s="27" t="str">
        <f>IF('E-Barrows'!A184&lt;'Adj-Barrows'!$B$10,'E-Barrows'!D184," ")</f>
        <v xml:space="preserve"> </v>
      </c>
      <c r="F184" s="27"/>
      <c r="G184" s="92" t="str">
        <f t="shared" si="9"/>
        <v xml:space="preserve"> </v>
      </c>
      <c r="H184" s="28" t="str">
        <f>IF('E-Barrows'!A184&lt;'Adj-Barrows'!$B$10,'E-Barrows'!I184," ")</f>
        <v xml:space="preserve"> </v>
      </c>
      <c r="I184" s="24" t="str">
        <f>IF('E-Barrows'!A184&lt;'Adj-Barrows'!$B$10,'E-Barrows'!A184," ")</f>
        <v xml:space="preserve"> </v>
      </c>
      <c r="J184" s="26" t="str">
        <f>IF('E-Barrows'!A184&lt;'Adj-Barrows'!$B$10,'E-Barrows'!J184," ")</f>
        <v xml:space="preserve"> </v>
      </c>
      <c r="K184" s="28" t="str">
        <f>IF('E-Barrows'!A184&lt;'Adj-Barrows'!$B$10,'E-Barrows'!N184," ")</f>
        <v xml:space="preserve"> </v>
      </c>
      <c r="L184" s="27" t="str">
        <f>IF('E-Barrows'!A184&lt;'Adj-Barrows'!$B$10,'E-Barrows'!K184," ")</f>
        <v xml:space="preserve"> </v>
      </c>
      <c r="M184" s="28" t="str">
        <f>IF('E-Barrows'!A184&lt;'Adj-Barrows'!$B$10,'E-Barrows'!M184," ")</f>
        <v xml:space="preserve"> </v>
      </c>
      <c r="N184" s="30" t="str">
        <f>IF('E-Barrows'!A184&lt;'Adj-Barrows'!$B$10,1/L184," ")</f>
        <v xml:space="preserve"> </v>
      </c>
      <c r="P184" s="31" t="str">
        <f t="shared" si="10"/>
        <v/>
      </c>
      <c r="Q184" s="31" t="str">
        <f t="shared" si="11"/>
        <v/>
      </c>
      <c r="R184" s="31" t="str">
        <f t="shared" si="12"/>
        <v/>
      </c>
    </row>
    <row r="185" spans="1:18" x14ac:dyDescent="0.25">
      <c r="A185" s="28" t="str">
        <f>IF('E-Barrows'!A185&lt;'Adj-Barrows'!$B$10,'E-Barrows'!B185," ")</f>
        <v xml:space="preserve"> </v>
      </c>
      <c r="B185" s="26" t="str">
        <f>IF('E-Barrows'!A185&lt;'Adj-Barrows'!$B$10,'E-Barrows'!A185," ")</f>
        <v xml:space="preserve"> </v>
      </c>
      <c r="C185" s="26" t="str">
        <f>IF('E-Barrows'!A185&lt;'Adj-Barrows'!$B$10,'E-Barrows'!C185," ")</f>
        <v xml:space="preserve"> </v>
      </c>
      <c r="D185" s="28" t="str">
        <f>IF('E-Barrows'!A185&lt;'Adj-Barrows'!$B$10,'E-Barrows'!G185," ")</f>
        <v xml:space="preserve"> </v>
      </c>
      <c r="E185" s="27" t="str">
        <f>IF('E-Barrows'!A185&lt;'Adj-Barrows'!$B$10,'E-Barrows'!D185," ")</f>
        <v xml:space="preserve"> </v>
      </c>
      <c r="F185" s="27"/>
      <c r="G185" s="92" t="str">
        <f t="shared" si="9"/>
        <v xml:space="preserve"> </v>
      </c>
      <c r="H185" s="28" t="str">
        <f>IF('E-Barrows'!A185&lt;'Adj-Barrows'!$B$10,'E-Barrows'!I185," ")</f>
        <v xml:space="preserve"> </v>
      </c>
      <c r="I185" s="24" t="str">
        <f>IF('E-Barrows'!A185&lt;'Adj-Barrows'!$B$10,'E-Barrows'!A185," ")</f>
        <v xml:space="preserve"> </v>
      </c>
      <c r="J185" s="26" t="str">
        <f>IF('E-Barrows'!A185&lt;'Adj-Barrows'!$B$10,'E-Barrows'!J185," ")</f>
        <v xml:space="preserve"> </v>
      </c>
      <c r="K185" s="28" t="str">
        <f>IF('E-Barrows'!A185&lt;'Adj-Barrows'!$B$10,'E-Barrows'!N185," ")</f>
        <v xml:space="preserve"> </v>
      </c>
      <c r="L185" s="27" t="str">
        <f>IF('E-Barrows'!A185&lt;'Adj-Barrows'!$B$10,'E-Barrows'!K185," ")</f>
        <v xml:space="preserve"> </v>
      </c>
      <c r="M185" s="28" t="str">
        <f>IF('E-Barrows'!A185&lt;'Adj-Barrows'!$B$10,'E-Barrows'!M185," ")</f>
        <v xml:space="preserve"> </v>
      </c>
      <c r="N185" s="30" t="str">
        <f>IF('E-Barrows'!A185&lt;'Adj-Barrows'!$B$10,1/L185," ")</f>
        <v xml:space="preserve"> </v>
      </c>
      <c r="P185" s="31" t="str">
        <f t="shared" si="10"/>
        <v/>
      </c>
      <c r="Q185" s="31" t="str">
        <f t="shared" si="11"/>
        <v/>
      </c>
      <c r="R185" s="31" t="str">
        <f t="shared" si="12"/>
        <v/>
      </c>
    </row>
  </sheetData>
  <mergeCells count="2">
    <mergeCell ref="A1:E1"/>
    <mergeCell ref="H1:L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674CE-5AD7-4E0F-B76D-DD2672D09899}">
  <sheetPr codeName="Sheet6"/>
  <dimension ref="B1:O43"/>
  <sheetViews>
    <sheetView showGridLines="0" topLeftCell="A7" zoomScale="130" zoomScaleNormal="130" workbookViewId="0">
      <selection activeCell="J10" sqref="J10"/>
    </sheetView>
  </sheetViews>
  <sheetFormatPr defaultRowHeight="15" x14ac:dyDescent="0.25"/>
  <cols>
    <col min="2" max="2" width="27.140625" bestFit="1" customWidth="1"/>
    <col min="3" max="3" width="9.85546875" bestFit="1" customWidth="1"/>
    <col min="4" max="4" width="10.85546875" bestFit="1" customWidth="1"/>
    <col min="5" max="5" width="9.5703125" bestFit="1" customWidth="1"/>
  </cols>
  <sheetData>
    <row r="1" spans="2:15" s="7" customFormat="1" ht="121.9" customHeight="1" x14ac:dyDescent="0.25">
      <c r="C1" s="8"/>
      <c r="D1" s="8"/>
      <c r="E1" s="8"/>
      <c r="F1" s="8"/>
      <c r="G1" s="8"/>
    </row>
    <row r="2" spans="2:15" s="7" customFormat="1" ht="14.45" customHeight="1" x14ac:dyDescent="0.25">
      <c r="C2" s="8"/>
      <c r="D2" s="8"/>
      <c r="E2" s="8"/>
      <c r="F2" s="8"/>
      <c r="G2" s="8"/>
    </row>
    <row r="3" spans="2:15" s="9" customFormat="1" ht="16.5" customHeight="1" x14ac:dyDescent="0.35">
      <c r="B3" s="20" t="s">
        <v>16</v>
      </c>
      <c r="C3" s="58">
        <f>IF('Кормовой бюджет'!$C$4='Кормовой бюджет'!$O$20,('Кормовой бюджет'!C13/2.204622)*1000,('Кормовой бюджет'!C13))</f>
        <v>850</v>
      </c>
      <c r="D3" s="15"/>
      <c r="E3" s="15"/>
      <c r="F3" s="15"/>
      <c r="G3" s="15"/>
      <c r="H3" s="16"/>
      <c r="I3" s="15"/>
      <c r="J3" s="15"/>
      <c r="N3" s="10"/>
      <c r="O3" s="10"/>
    </row>
    <row r="4" spans="2:15" s="9" customFormat="1" ht="16.5" customHeight="1" x14ac:dyDescent="0.35">
      <c r="B4" s="20" t="s">
        <v>17</v>
      </c>
      <c r="C4" s="59">
        <f>'Кормовой бюджет'!C14</f>
        <v>2.4300000000000002</v>
      </c>
      <c r="D4" s="15"/>
      <c r="E4" s="15"/>
      <c r="F4" s="15"/>
      <c r="G4" s="15"/>
      <c r="H4" s="16"/>
      <c r="I4" s="17"/>
      <c r="J4" s="15"/>
      <c r="N4" s="10"/>
      <c r="O4" s="10"/>
    </row>
    <row r="5" spans="2:15" s="9" customFormat="1" ht="16.5" customHeight="1" x14ac:dyDescent="0.35">
      <c r="B5" s="21" t="s">
        <v>21</v>
      </c>
      <c r="C5" s="60">
        <f>'Кормовой бюджет'!C5</f>
        <v>21</v>
      </c>
      <c r="D5" s="10"/>
      <c r="E5" s="10"/>
      <c r="F5" s="10"/>
      <c r="G5" s="15"/>
      <c r="H5" s="16"/>
      <c r="I5" s="15"/>
      <c r="J5" s="15"/>
      <c r="N5" s="10"/>
      <c r="O5" s="10"/>
    </row>
    <row r="6" spans="2:15" s="7" customFormat="1" ht="17.25" customHeight="1" x14ac:dyDescent="0.25">
      <c r="C6" s="8"/>
      <c r="D6" s="8"/>
      <c r="E6" s="8"/>
      <c r="F6" s="8"/>
      <c r="G6" s="8"/>
    </row>
    <row r="7" spans="2:15" s="9" customFormat="1" x14ac:dyDescent="0.25">
      <c r="B7" s="5" t="s">
        <v>44</v>
      </c>
      <c r="C7" s="42">
        <f>IF('Кормовой бюджет'!C21&gt;0,IF('Кормовой бюджет'!$C$4='Кормовой бюджет'!$O$20,'Кормовой бюджет'!C21*2.2046222,'Кормовой бюджет'!C21),"")</f>
        <v>3355</v>
      </c>
      <c r="D7" s="42">
        <f>IF('Кормовой бюджет'!D21&gt;0,IF('Кормовой бюджет'!$C$4='Кормовой бюджет'!$O$20,'Кормовой бюджет'!D21*2.2046222,'Кормовой бюджет'!D21),"")</f>
        <v>3355</v>
      </c>
      <c r="E7" s="42">
        <f>IF('Кормовой бюджет'!E21&gt;0,IF('Кормовой бюджет'!$C$4='Кормовой бюджет'!$O$20,'Кормовой бюджет'!E21*2.2046222,'Кормовой бюджет'!E21),"")</f>
        <v>3355</v>
      </c>
      <c r="F7" s="42">
        <f>IF('Кормовой бюджет'!F21&gt;0,IF('Кормовой бюджет'!$C$4='Кормовой бюджет'!$O$20,'Кормовой бюджет'!F21*2.2046222,'Кормовой бюджет'!F21),"")</f>
        <v>3355</v>
      </c>
      <c r="G7" s="42">
        <f>IF('Кормовой бюджет'!G21&gt;0,IF('Кормовой бюджет'!$C$4='Кормовой бюджет'!$O$20,'Кормовой бюджет'!G21*2.2046222,'Кормовой бюджет'!G21),"")</f>
        <v>3355</v>
      </c>
      <c r="H7" s="42">
        <f>IF('Кормовой бюджет'!H21&gt;0,IF('Кормовой бюджет'!$C$4='Кормовой бюджет'!$O$20,'Кормовой бюджет'!H21*2.2046222,'Кормовой бюджет'!H21),"")</f>
        <v>3355</v>
      </c>
      <c r="I7" s="42">
        <f>IF('Кормовой бюджет'!I21&gt;0,IF('Кормовой бюджет'!$C$4='Кормовой бюджет'!$O$20,'Кормовой бюджет'!I21*2.2046222,'Кормовой бюджет'!I21),"")</f>
        <v>3355</v>
      </c>
      <c r="J7" s="42">
        <f>IF('Кормовой бюджет'!J21&gt;0,IF('Кормовой бюджет'!$C$4='Кормовой бюджет'!$O$20,'Кормовой бюджет'!J21*2.2046222,'Кормовой бюджет'!J21),"")</f>
        <v>3355</v>
      </c>
    </row>
    <row r="8" spans="2:15" s="7" customFormat="1" ht="17.25" customHeight="1" x14ac:dyDescent="0.25">
      <c r="B8" s="57" t="s">
        <v>34</v>
      </c>
      <c r="C8" s="8"/>
      <c r="D8" s="8"/>
      <c r="E8" s="8"/>
      <c r="F8" s="8"/>
      <c r="G8" s="8"/>
    </row>
    <row r="9" spans="2:15" s="9" customFormat="1" x14ac:dyDescent="0.25">
      <c r="B9" s="5" t="s">
        <v>2</v>
      </c>
      <c r="C9" s="50">
        <f>IF('Кормовой бюджет'!C21&gt;0,IF('Кормовой бюджет'!$C$4='Кормовой бюджет'!$O$20,'Кормовой бюджет'!C23/2.2046222,'Кормовой бюджет'!C23),"")</f>
        <v>6</v>
      </c>
      <c r="D9" s="50">
        <f>IF('Кормовой бюджет'!D21&gt;0,IF('Кормовой бюджет'!$C$4='Кормовой бюджет'!$O$20,'Кормовой бюджет'!D23/2.2046222,'Кормовой бюджет'!D23),"")</f>
        <v>8</v>
      </c>
      <c r="E9" s="50">
        <f>IF('Кормовой бюджет'!E21&gt;0,IF('Кормовой бюджет'!$C$4='Кормовой бюджет'!$O$20,'Кормовой бюджет'!E23/2.2046222,'Кормовой бюджет'!E23),"")</f>
        <v>12</v>
      </c>
      <c r="F9" s="50">
        <f>IF('Кормовой бюджет'!F21&gt;0,IF('Кормовой бюджет'!$C$4='Кормовой бюджет'!$O$20,'Кормовой бюджет'!F23/2.2046222,'Кормовой бюджет'!F23),"")</f>
        <v>25</v>
      </c>
      <c r="G9" s="50">
        <f>IF('Кормовой бюджет'!G21&gt;0,IF('Кормовой бюджет'!$C$4='Кормовой бюджет'!$O$20,'Кормовой бюджет'!G23/2.2046222,'Кормовой бюджет'!G23),"")</f>
        <v>45</v>
      </c>
      <c r="H9" s="50">
        <f>IF('Кормовой бюджет'!H21&gt;0,IF('Кормовой бюджет'!$C$4='Кормовой бюджет'!$O$20,'Кормовой бюджет'!H23/2.2046222,'Кормовой бюджет'!H23),"")</f>
        <v>70</v>
      </c>
      <c r="I9" s="50">
        <f>IF('Кормовой бюджет'!I21&gt;0,IF('Кормовой бюджет'!$C$4='Кормовой бюджет'!$O$20,'Кормовой бюджет'!I23/2.2046222,'Кормовой бюджет'!I23),"")</f>
        <v>95</v>
      </c>
      <c r="J9" s="50">
        <f>IF('Кормовой бюджет'!J21&gt;0,IF('Кормовой бюджет'!$C$4='Кормовой бюджет'!$O$20,'Кормовой бюджет'!J23/2.2046222,'Кормовой бюджет'!J23),"")</f>
        <v>110</v>
      </c>
    </row>
    <row r="10" spans="2:15" s="9" customFormat="1" x14ac:dyDescent="0.25">
      <c r="B10" s="5" t="s">
        <v>3</v>
      </c>
      <c r="C10" s="50">
        <f>IF('Кормовой бюджет'!C21&gt;0,IF('Кормовой бюджет'!$C$4='Кормовой бюджет'!$O$20,'Кормовой бюджет'!C24/2.2046222,'Кормовой бюджет'!C24),"")</f>
        <v>8</v>
      </c>
      <c r="D10" s="50">
        <f>IF('Кормовой бюджет'!D21&gt;0,IF('Кормовой бюджет'!$C$4='Кормовой бюджет'!$O$20,'Кормовой бюджет'!D24/2.2046222,'Кормовой бюджет'!D24),"")</f>
        <v>12</v>
      </c>
      <c r="E10" s="50">
        <f>IF('Кормовой бюджет'!E21&gt;0,IF('Кормовой бюджет'!$C$4='Кормовой бюджет'!$O$20,'Кормовой бюджет'!E24/2.2046222,'Кормовой бюджет'!E24),"")</f>
        <v>25</v>
      </c>
      <c r="F10" s="50">
        <f>IF('Кормовой бюджет'!F21&gt;0,IF('Кормовой бюджет'!$C$4='Кормовой бюджет'!$O$20,'Кормовой бюджет'!F24/2.2046222,'Кормовой бюджет'!F24),"")</f>
        <v>45</v>
      </c>
      <c r="G10" s="50">
        <f>IF('Кормовой бюджет'!G21&gt;0,IF('Кормовой бюджет'!$C$4='Кормовой бюджет'!$O$20,'Кормовой бюджет'!G24/2.2046222,'Кормовой бюджет'!G24),"")</f>
        <v>70</v>
      </c>
      <c r="H10" s="50">
        <f>IF('Кормовой бюджет'!H21&gt;0,IF('Кормовой бюджет'!$C$4='Кормовой бюджет'!$O$20,'Кормовой бюджет'!H24/2.2046222,'Кормовой бюджет'!H24),"")</f>
        <v>95</v>
      </c>
      <c r="I10" s="50">
        <f>IF('Кормовой бюджет'!I21&gt;0,IF('Кормовой бюджет'!$C$4='Кормовой бюджет'!$O$20,'Кормовой бюджет'!I24/2.2046222,'Кормовой бюджет'!I24),"")</f>
        <v>110</v>
      </c>
      <c r="J10" s="50">
        <f>IF('Кормовой бюджет'!J21&gt;0,IF('Кормовой бюджет'!$C$4='Кормовой бюджет'!$O$20,'Кормовой бюджет'!J24/2.2046222,'Кормовой бюджет'!J24),"")</f>
        <v>120</v>
      </c>
      <c r="L10" s="41"/>
    </row>
    <row r="11" spans="2:15" s="9" customFormat="1" ht="15.75" x14ac:dyDescent="0.25">
      <c r="C11" s="6" t="str">
        <f t="shared" ref="C11:J11" si="0">IF(C28&lt;C27,"!", " ")</f>
        <v xml:space="preserve"> </v>
      </c>
      <c r="D11" s="6" t="str">
        <f t="shared" si="0"/>
        <v xml:space="preserve"> </v>
      </c>
      <c r="E11" s="6" t="str">
        <f t="shared" si="0"/>
        <v xml:space="preserve"> </v>
      </c>
      <c r="F11" s="6" t="str">
        <f t="shared" si="0"/>
        <v xml:space="preserve"> </v>
      </c>
      <c r="G11" s="6" t="str">
        <f t="shared" si="0"/>
        <v xml:space="preserve"> </v>
      </c>
      <c r="H11" s="6" t="str">
        <f t="shared" si="0"/>
        <v xml:space="preserve"> </v>
      </c>
      <c r="I11" s="6" t="str">
        <f t="shared" si="0"/>
        <v xml:space="preserve"> </v>
      </c>
      <c r="J11" s="6" t="str">
        <f t="shared" si="0"/>
        <v xml:space="preserve"> </v>
      </c>
    </row>
    <row r="12" spans="2:15" s="9" customFormat="1" x14ac:dyDescent="0.25">
      <c r="B12" s="5" t="s">
        <v>22</v>
      </c>
      <c r="C12" s="34">
        <f>IFERROR(IF('Кормовой бюджет'!D21&gt;0,(C14-C13),(C14-C13+'Adj-Mixed'!$I$4))," ")</f>
        <v>2.3875213038297782</v>
      </c>
      <c r="D12" s="34">
        <f>IFERROR(IF('Кормовой бюджет'!E21&gt;0,(D14-D13),(D14-D13+'Adj-Mixed'!$I$4))," ")</f>
        <v>4.8040612055834835</v>
      </c>
      <c r="E12" s="34">
        <f>IFERROR(IF('Кормовой бюджет'!F21&gt;0,(E14-E13),(E14-E13+'Adj-Mixed'!$I$4))," ")</f>
        <v>20.173680744502715</v>
      </c>
      <c r="F12" s="34">
        <f>IFERROR(IF('Кормовой бюджет'!G21&gt;0,(F14-F13),(F14-F13+'Adj-Mixed'!$I$4))," ")</f>
        <v>39.728764166285778</v>
      </c>
      <c r="G12" s="34">
        <f>IFERROR(IF('Кормовой бюджет'!H21&gt;0,(G14-G13),(G14-G13+'Adj-Mixed'!$I$4))," ")</f>
        <v>62.472897515858719</v>
      </c>
      <c r="H12" s="34">
        <f>IFERROR(IF('Кормовой бюджет'!I21&gt;0,(H14-H13),(H14-H13+'Adj-Mixed'!$I$4))," ")</f>
        <v>69.933636640433576</v>
      </c>
      <c r="I12" s="34">
        <f>IFERROR(IF('Кормовой бюджет'!J21&gt;0,(I14-I13),(I14-I13+'Adj-Mixed'!$I$4))," ")</f>
        <v>42.881657508943817</v>
      </c>
      <c r="J12" s="34">
        <f>IFERROR(IF('Кормовой бюджет'!K21&gt;0,(J14-J13),(J14-J13+'Adj-Mixed'!$I$4))," ")</f>
        <v>34.637780914562171</v>
      </c>
      <c r="M12" s="32"/>
    </row>
    <row r="13" spans="2:15" s="9" customFormat="1" x14ac:dyDescent="0.25">
      <c r="B13" s="5"/>
      <c r="C13" s="34">
        <v>0</v>
      </c>
      <c r="D13" s="34">
        <f>IF('Кормовой бюджет'!D$21&gt;0,VLOOKUP(D22,'Curve-Mixed'!$H$3:$K$185,4),"")</f>
        <v>2.3875213038297782</v>
      </c>
      <c r="E13" s="34">
        <f>IF('Кормовой бюджет'!E$21&gt;0,VLOOKUP(E22,'Curve-Mixed'!$H$3:$K$185,4),"")</f>
        <v>7.1915825094132613</v>
      </c>
      <c r="F13" s="34">
        <f>IF('Кормовой бюджет'!F$21&gt;0,VLOOKUP(F22,'Curve-Mixed'!$H$3:$K$185,4),"")</f>
        <v>27.365263253915977</v>
      </c>
      <c r="G13" s="34">
        <f>IF('Кормовой бюджет'!G$21&gt;0,VLOOKUP(G22,'Curve-Mixed'!$H$3:$K$185,4),"")</f>
        <v>67.094027420201755</v>
      </c>
      <c r="H13" s="34">
        <f>IF('Кормовой бюджет'!H$21&gt;0,VLOOKUP(H22,'Curve-Mixed'!$H$3:$K$185,4),"")</f>
        <v>129.56692493606047</v>
      </c>
      <c r="I13" s="34">
        <f>IF('Кормовой бюджет'!I$21&gt;0,VLOOKUP(I22,'Curve-Mixed'!$H$3:$K$185,4),"")</f>
        <v>199.50056157649405</v>
      </c>
      <c r="J13" s="34">
        <f>IF('Кормовой бюджет'!J$21&gt;0,VLOOKUP(J22,'Curve-Mixed'!$H$3:$K$185,4),"")</f>
        <v>242.38221908543787</v>
      </c>
    </row>
    <row r="14" spans="2:15" s="9" customFormat="1" x14ac:dyDescent="0.25">
      <c r="B14" s="5"/>
      <c r="C14" s="34">
        <f>IF('Кормовой бюджет'!C$21&gt;0,VLOOKUP(C23,'Curve-Mixed'!$H$3:$K$185,4),"")</f>
        <v>2.3875213038297782</v>
      </c>
      <c r="D14" s="34">
        <f>IF('Кормовой бюджет'!D$21&gt;0,VLOOKUP(D23,'Curve-Mixed'!$H$3:$K$185,4),"")</f>
        <v>7.1915825094132613</v>
      </c>
      <c r="E14" s="34">
        <f>IF('Кормовой бюджет'!E$21&gt;0,VLOOKUP(E23,'Curve-Mixed'!$H$3:$K$185,4),"")</f>
        <v>27.365263253915977</v>
      </c>
      <c r="F14" s="34">
        <f>IF('Кормовой бюджет'!F$21&gt;0,VLOOKUP(F23,'Curve-Mixed'!$H$3:$K$185,4),"")</f>
        <v>67.094027420201755</v>
      </c>
      <c r="G14" s="34">
        <f>IF('Кормовой бюджет'!G$21&gt;0,VLOOKUP(G23,'Curve-Mixed'!$H$3:$K$185,4),"")</f>
        <v>129.56692493606047</v>
      </c>
      <c r="H14" s="34">
        <f>IF('Кормовой бюджет'!H$21&gt;0,VLOOKUP(H23,'Curve-Mixed'!$H$3:$K$185,4),"")</f>
        <v>199.50056157649405</v>
      </c>
      <c r="I14" s="34">
        <f>IF('Кормовой бюджет'!I$21&gt;0,VLOOKUP(I23,'Curve-Mixed'!$H$3:$K$185,4),"")</f>
        <v>242.38221908543787</v>
      </c>
      <c r="J14" s="34">
        <f>IF('Кормовой бюджет'!J$21&gt;0,VLOOKUP(J23,'Curve-Mixed'!$H$3:$K$185,4),"")</f>
        <v>276.4853762775154</v>
      </c>
      <c r="M14" s="32"/>
    </row>
    <row r="15" spans="2:15" s="9" customFormat="1" x14ac:dyDescent="0.25">
      <c r="B15" s="5" t="s">
        <v>18</v>
      </c>
      <c r="C15" s="11">
        <f>IFERROR(IF('Кормовой бюджет'!D21&gt;0,(C17-C16),(C17-C16+1)),"")</f>
        <v>10</v>
      </c>
      <c r="D15" s="11">
        <f>IFERROR(IF('Кормовой бюджет'!E21&gt;0,(D17-D16),(D17-D16+1)),"")</f>
        <v>9</v>
      </c>
      <c r="E15" s="11">
        <f>IFERROR(IF('Кормовой бюджет'!F21&gt;0,(E17-E16),(E17-E16+1)),"")</f>
        <v>21</v>
      </c>
      <c r="F15" s="11">
        <f>IFERROR(IF('Кормовой бюджет'!G21&gt;0,(F17-F16),(F17-F16+1)),"")</f>
        <v>23</v>
      </c>
      <c r="G15" s="11">
        <f>IFERROR(IF('Кормовой бюджет'!H21&gt;0,(G17-G16),(G17-G16+1)),"")</f>
        <v>25</v>
      </c>
      <c r="H15" s="11">
        <f>IFERROR(IF('Кормовой бюджет'!I21&gt;0,(H17-H16),(H17-H16+1)),"")</f>
        <v>23</v>
      </c>
      <c r="I15" s="11">
        <f>IFERROR(IF('Кормовой бюджет'!J21&gt;0,(I17-I16),(I17-I16+1)),"")</f>
        <v>13</v>
      </c>
      <c r="J15" s="11">
        <f>IFERROR(IF('Кормовой бюджет'!K21&gt;0,(J17-J16),(J17-J16+1)),"")</f>
        <v>11</v>
      </c>
      <c r="M15" s="32"/>
      <c r="N15" s="33"/>
    </row>
    <row r="16" spans="2:15" s="9" customFormat="1" x14ac:dyDescent="0.25">
      <c r="B16" s="5"/>
      <c r="C16" s="11">
        <f>IF('Кормовой бюджет'!C21&gt;0,VLOOKUP(C22,'Curve-Mixed'!$H$3:$K$185,2),"")</f>
        <v>21</v>
      </c>
      <c r="D16" s="11">
        <f>IF('Кормовой бюджет'!D21&gt;0,VLOOKUP(D22,'Curve-Mixed'!$H$3:$K$185,2),"")</f>
        <v>31</v>
      </c>
      <c r="E16" s="11">
        <f>IF('Кормовой бюджет'!E21&gt;0,VLOOKUP(E22,'Curve-Mixed'!$H$3:$K$185,2),"")</f>
        <v>40</v>
      </c>
      <c r="F16" s="11">
        <f>IF('Кормовой бюджет'!F21&gt;0,VLOOKUP(F22,'Curve-Mixed'!$H$3:$K$185,2),"")</f>
        <v>61</v>
      </c>
      <c r="G16" s="11">
        <f>IF('Кормовой бюджет'!G21&gt;0,VLOOKUP(G22,'Curve-Mixed'!$H$3:$K$185,2),"")</f>
        <v>84</v>
      </c>
      <c r="H16" s="11">
        <f>IF('Кормовой бюджет'!H21&gt;0,VLOOKUP(H22,'Curve-Mixed'!$H$3:$K$185,2),"")</f>
        <v>109</v>
      </c>
      <c r="I16" s="11">
        <f>IF('Кормовой бюджет'!I21&gt;0,VLOOKUP(I22,'Curve-Mixed'!$H$3:$K$185,2),"")</f>
        <v>132</v>
      </c>
      <c r="J16" s="11">
        <f>IF('Кормовой бюджет'!J21&gt;0,VLOOKUP(J22,'Curve-Mixed'!$H$3:$K$185,2),"")</f>
        <v>145</v>
      </c>
      <c r="M16" s="32"/>
    </row>
    <row r="17" spans="2:15" s="9" customFormat="1" x14ac:dyDescent="0.25">
      <c r="B17" s="5"/>
      <c r="C17" s="11">
        <f>IF('Кормовой бюджет'!C21&gt;0,VLOOKUP(C23,'Curve-Mixed'!$H$3:$K$185,2),"")</f>
        <v>31</v>
      </c>
      <c r="D17" s="11">
        <f>IF('Кормовой бюджет'!D21&gt;0,VLOOKUP(D23,'Curve-Mixed'!$H$3:$K$185,2),"")</f>
        <v>40</v>
      </c>
      <c r="E17" s="11">
        <f>IF('Кормовой бюджет'!E21&gt;0,VLOOKUP(E23,'Curve-Mixed'!$H$3:$K$185,2),"")</f>
        <v>61</v>
      </c>
      <c r="F17" s="11">
        <f>IF('Кормовой бюджет'!F21&gt;0,VLOOKUP(F23,'Curve-Mixed'!$H$3:$K$185,2),"")</f>
        <v>84</v>
      </c>
      <c r="G17" s="11">
        <f>IF('Кормовой бюджет'!G21&gt;0,VLOOKUP(G23,'Curve-Mixed'!$H$3:$K$185,2),"")</f>
        <v>109</v>
      </c>
      <c r="H17" s="11">
        <f>IF('Кормовой бюджет'!H21&gt;0,VLOOKUP(H23,'Curve-Mixed'!$H$3:$K$185,2),"")</f>
        <v>132</v>
      </c>
      <c r="I17" s="11">
        <f>IF('Кормовой бюджет'!I21&gt;0,VLOOKUP(I23,'Curve-Mixed'!$H$3:$K$185,2),"")</f>
        <v>145</v>
      </c>
      <c r="J17" s="11">
        <f>IF('Кормовой бюджет'!J21&gt;0,VLOOKUP(J23,'Curve-Mixed'!$H$3:$K$185,2),"")</f>
        <v>155</v>
      </c>
      <c r="M17" s="32"/>
    </row>
    <row r="18" spans="2:15" s="9" customFormat="1" x14ac:dyDescent="0.25">
      <c r="B18" s="9" t="s">
        <v>4</v>
      </c>
      <c r="C18" s="11">
        <f>IF('Кормовой бюджет'!C21&gt;0,CONVERT(C22*1000,"g","lbm")," ")</f>
        <v>13.227735731092654</v>
      </c>
      <c r="D18" s="11">
        <f>IF('Кормовой бюджет'!D21&gt;0,CONVERT(D22*1000,"g","lbm")," ")</f>
        <v>17.612944497943985</v>
      </c>
      <c r="E18" s="11">
        <f>IF('Кормовой бюджет'!E21&gt;0,CONVERT(E22*1000,"g","lbm")," ")</f>
        <v>25.458102360200542</v>
      </c>
      <c r="F18" s="11">
        <f>IF('Кормовой бюджет'!F21&gt;0,CONVERT(F22*1000,"g","lbm")," ")</f>
        <v>53.528190017439435</v>
      </c>
      <c r="G18" s="11">
        <f>IF('Кормовой бюджет'!G21&gt;0,CONVERT(G22*1000,"g","lbm")," ")</f>
        <v>97.397896886675895</v>
      </c>
      <c r="H18" s="11">
        <f>IF('Кормовой бюджет'!H21&gt;0,CONVERT(H22*1000,"g","lbm")," ")</f>
        <v>153.94732124381218</v>
      </c>
      <c r="I18" s="11">
        <f>IF('Кормовой бюджет'!I21&gt;0,CONVERT(I22*1000,"g","lbm")," ")</f>
        <v>209.37746414495547</v>
      </c>
      <c r="J18" s="11">
        <f>IF('Кормовой бюджет'!J21&gt;0,CONVERT(J22*1000,"g","lbm")," ")</f>
        <v>240.68358602011796</v>
      </c>
    </row>
    <row r="19" spans="2:15" s="9" customFormat="1" x14ac:dyDescent="0.25">
      <c r="B19" s="9" t="s">
        <v>5</v>
      </c>
      <c r="C19" s="11">
        <f>IF('Кормовой бюджет'!C21&gt;0,CONVERT(C23*1000,"g","lbm")," ")</f>
        <v>17.612944497943985</v>
      </c>
      <c r="D19" s="11">
        <f>IF('Кормовой бюджет'!D21&gt;0,CONVERT(D23*1000,"g","lbm")," ")</f>
        <v>25.458102360200542</v>
      </c>
      <c r="E19" s="11">
        <f>IF('Кормовой бюджет'!E21&gt;0,CONVERT(E23*1000,"g","lbm")," ")</f>
        <v>53.528190017439435</v>
      </c>
      <c r="F19" s="11">
        <f>IF('Кормовой бюджет'!F21&gt;0,CONVERT(F23*1000,"g","lbm")," ")</f>
        <v>97.397896886675895</v>
      </c>
      <c r="G19" s="34">
        <f>IF('Кормовой бюджет'!G21&gt;0,CONVERT(G23*1000,"g","lbm")," ")</f>
        <v>153.94732124381218</v>
      </c>
      <c r="H19" s="11">
        <f>IF('Кормовой бюджет'!H21&gt;0,CONVERT(H23*1000,"g","lbm")," ")</f>
        <v>209.37746414495547</v>
      </c>
      <c r="I19" s="11">
        <f>IF('Кормовой бюджет'!I21&gt;0,CONVERT(I23*1000,"g","lbm")," ")</f>
        <v>240.68358602011796</v>
      </c>
      <c r="J19" s="11">
        <f>IF('Кормовой бюджет'!J21&gt;0,CONVERT(J23*1000,"g","lbm")," ")</f>
        <v>264.33425235966831</v>
      </c>
    </row>
    <row r="20" spans="2:15" s="9" customFormat="1" x14ac:dyDescent="0.25">
      <c r="C20" s="52">
        <f>IFERROR(IF(C18&gt;0,AVERAGE(C18:C19)," "),"")</f>
        <v>15.42034011451832</v>
      </c>
      <c r="D20" s="52">
        <f t="shared" ref="D20:I20" si="1">IFERROR(IF(D18&gt;0,AVERAGE(D18:D19)," "),"")</f>
        <v>21.535523429072263</v>
      </c>
      <c r="E20" s="52">
        <f t="shared" si="1"/>
        <v>39.493146188819992</v>
      </c>
      <c r="F20" s="52">
        <f t="shared" si="1"/>
        <v>75.463043452057661</v>
      </c>
      <c r="G20" s="52">
        <f t="shared" si="1"/>
        <v>125.67260906524405</v>
      </c>
      <c r="H20" s="52">
        <f t="shared" si="1"/>
        <v>181.66239269438381</v>
      </c>
      <c r="I20" s="52">
        <f t="shared" si="1"/>
        <v>225.03052508253671</v>
      </c>
      <c r="J20" s="52">
        <f>IFERROR(IF(J18&gt;0,AVERAGE(J18:J19)," "),"")</f>
        <v>252.50891918989313</v>
      </c>
    </row>
    <row r="21" spans="2:15" s="9" customFormat="1" x14ac:dyDescent="0.25">
      <c r="C21" s="12"/>
      <c r="D21" s="12"/>
      <c r="E21" s="12"/>
      <c r="F21" s="12"/>
      <c r="G21" s="12"/>
      <c r="H21" s="10"/>
    </row>
    <row r="22" spans="2:15" s="9" customFormat="1" x14ac:dyDescent="0.25">
      <c r="B22" s="9" t="s">
        <v>2</v>
      </c>
      <c r="C22" s="11">
        <f>C9</f>
        <v>6</v>
      </c>
      <c r="D22" s="11">
        <f>IF('Кормовой бюджет'!D21&gt;0,VLOOKUP(D9,'Curve-Mixed'!$H$3:$J$185,1),"")</f>
        <v>7.9890972375008733</v>
      </c>
      <c r="E22" s="11">
        <f>IF('Кормовой бюджет'!E21&gt;0,VLOOKUP(E9,'Curve-Mixed'!$H$3:$J$185,1),"")</f>
        <v>11.547600985265957</v>
      </c>
      <c r="F22" s="11">
        <f>IF('Кормовой бюджет'!F21&gt;0,VLOOKUP(F9,'Curve-Mixed'!$H$3:$J$185,1),"")</f>
        <v>24.279978571820696</v>
      </c>
      <c r="G22" s="11">
        <f>IF('Кормовой бюджет'!G21&gt;0,VLOOKUP(G9,'Curve-Mixed'!$H$3:$J$185,1),"")</f>
        <v>44.178942881842943</v>
      </c>
      <c r="H22" s="11">
        <f>IF('Кормовой бюджет'!H21&gt;0,VLOOKUP(H9,'Curve-Mixed'!$H$3:$J$185,1),"")</f>
        <v>69.82933029813212</v>
      </c>
      <c r="I22" s="11">
        <f>IF('Кормовой бюджет'!I21&gt;0,VLOOKUP(I9,'Curve-Mixed'!$H$3:$J$185,1),"")</f>
        <v>94.97202018610038</v>
      </c>
      <c r="J22" s="11">
        <f>IF('Кормовой бюджет'!J21&gt;0,VLOOKUP(J9,'Curve-Mixed'!$H$3:$J$185,1),"")</f>
        <v>109.17223820296418</v>
      </c>
    </row>
    <row r="23" spans="2:15" s="9" customFormat="1" x14ac:dyDescent="0.25">
      <c r="B23" s="9" t="s">
        <v>3</v>
      </c>
      <c r="C23" s="11">
        <f>IF('Кормовой бюджет'!C21&gt;0,VLOOKUP(C10,'Curve-Mixed'!$H$3:$J$185,1),"")</f>
        <v>7.9890972375008733</v>
      </c>
      <c r="D23" s="11">
        <f>IF('Кормовой бюджет'!D21&gt;0,VLOOKUP(D10,'Curve-Mixed'!$H$3:$J$185,1),"")</f>
        <v>11.547600985265957</v>
      </c>
      <c r="E23" s="11">
        <f>IF('Кормовой бюджет'!E21&gt;0,VLOOKUP(E10,'Curve-Mixed'!$H$3:$J$185,1),"")</f>
        <v>24.279978571820696</v>
      </c>
      <c r="F23" s="11">
        <f>IF('Кормовой бюджет'!F21&gt;0,VLOOKUP(F10,'Curve-Mixed'!$H$3:$J$185,1),"")</f>
        <v>44.178942881842943</v>
      </c>
      <c r="G23" s="11">
        <f>IF('Кормовой бюджет'!G21&gt;0,VLOOKUP(G10,'Curve-Mixed'!$H$3:$J$185,1),"")</f>
        <v>69.82933029813212</v>
      </c>
      <c r="H23" s="11">
        <f>IF('Кормовой бюджет'!H21&gt;0,VLOOKUP(H10,'Curve-Mixed'!$H$3:$J$185,1),"")</f>
        <v>94.97202018610038</v>
      </c>
      <c r="I23" s="11">
        <f>IF('Кормовой бюджет'!I21&gt;0,VLOOKUP(I10,'Curve-Mixed'!$H$3:$J$185,1),"")</f>
        <v>109.17223820296418</v>
      </c>
      <c r="J23" s="11">
        <f>IF('Кормовой бюджет'!J21&gt;0,VLOOKUP(J10,'Curve-Mixed'!$H$3:$J$185,1),"")</f>
        <v>119.90000000000005</v>
      </c>
    </row>
    <row r="24" spans="2:15" s="9" customFormat="1" x14ac:dyDescent="0.25">
      <c r="C24" s="12">
        <f>IFERROR(IF(C22&gt;0,AVERAGE(C22:C23)," "),"")</f>
        <v>6.9945486187504367</v>
      </c>
      <c r="D24" s="12">
        <f t="shared" ref="D24:J24" si="2">IFERROR(IF(D22&gt;0,AVERAGE(D22:D23)," "),"")</f>
        <v>9.7683491113834151</v>
      </c>
      <c r="E24" s="12">
        <f t="shared" si="2"/>
        <v>17.913789778543325</v>
      </c>
      <c r="F24" s="12">
        <f t="shared" si="2"/>
        <v>34.229460726831817</v>
      </c>
      <c r="G24" s="12">
        <f t="shared" si="2"/>
        <v>57.004136589987532</v>
      </c>
      <c r="H24" s="12">
        <f t="shared" si="2"/>
        <v>82.40067524211625</v>
      </c>
      <c r="I24" s="12">
        <f t="shared" si="2"/>
        <v>102.07212919453228</v>
      </c>
      <c r="J24" s="12">
        <f t="shared" si="2"/>
        <v>114.53611910148211</v>
      </c>
    </row>
    <row r="25" spans="2:15" s="9" customFormat="1" x14ac:dyDescent="0.25">
      <c r="C25" s="12"/>
      <c r="D25" s="12"/>
      <c r="E25" s="12"/>
      <c r="F25" s="12"/>
      <c r="G25" s="12"/>
      <c r="H25" s="10"/>
      <c r="N25" s="33"/>
      <c r="O25" s="33"/>
    </row>
    <row r="26" spans="2:15" s="9" customFormat="1" x14ac:dyDescent="0.25">
      <c r="B26" s="5" t="s">
        <v>35</v>
      </c>
      <c r="C26" s="10"/>
      <c r="D26" s="10"/>
      <c r="E26" s="10"/>
      <c r="F26" s="10"/>
      <c r="G26" s="10"/>
      <c r="H26" s="10"/>
    </row>
    <row r="27" spans="2:15" s="9" customFormat="1" x14ac:dyDescent="0.25">
      <c r="B27" s="9" t="s">
        <v>6</v>
      </c>
      <c r="C27" s="13">
        <f>IFERROR(IF(AND('Кормовой бюджет'!C21&gt;0,C24&lt;40),C30,C30+(-(-0.0000000031*C24^4+0.0000013234*C24^3-0.0002087068*C24^2+0.0142221655*C24-0.3126825057)*C30)),"")</f>
        <v>4.217978486308712</v>
      </c>
      <c r="D27" s="13">
        <f>IFERROR(IF(AND('Кормовой бюджет'!D21&gt;0,D24&lt;40),D30,D30+(-(-0.0000000031*D24^4+0.0000013234*D24^3-0.0002087068*D24^2+0.0142221655*D24-0.3126825057)*D30)),"")</f>
        <v>4.1271493911152417</v>
      </c>
      <c r="E27" s="13">
        <f>IFERROR(IF(AND('Кормовой бюджет'!E21&gt;0,E24&lt;40),E30,E30+(-(-0.0000000031*E24^4+0.0000013234*E24^3-0.0002087068*E24^2+0.0142221655*E24-0.3126825057)*E30)),"")</f>
        <v>3.8714756818278842</v>
      </c>
      <c r="F27" s="13">
        <f>IFERROR(IF(AND('Кормовой бюджет'!F21&gt;0,F24&lt;40),F30,F30+(-(-0.0000000031*F24^4+0.0000013234*F24^3-0.0002087068*F24^2+0.0142221655*F24-0.3126825057)*F30)),"")</f>
        <v>3.4089410811314154</v>
      </c>
      <c r="G27" s="13">
        <f>IFERROR(IF(AND('Кормовой бюджет'!G21&gt;0,G24&lt;40),G30,G30+(-(-0.0000000031*G24^4+0.0000013234*G24^3-0.0002087068*G24^2+0.0142221655*G24-0.3126825057)*G30)),"")</f>
        <v>2.7812159671158732</v>
      </c>
      <c r="H27" s="13">
        <f>IFERROR(IF(AND('Кормовой бюджет'!H21&gt;0,H24&lt;40),H30,H30+(-(-0.0000000031*H24^4+0.0000013234*H24^3-0.0002087068*H24^2+0.0142221655*H24-0.3126825057)*H30)),"")</f>
        <v>2.3329941456742351</v>
      </c>
      <c r="I27" s="13">
        <f>IFERROR(IF(AND('Кормовой бюджет'!I21&gt;0,I24&lt;40),I30,I30+(-(-0.0000000031*I24^4+0.0000013234*I24^3-0.0002087068*I24^2+0.0142221655*I24-0.3126825057)*I30)),"")</f>
        <v>2.1173460989852604</v>
      </c>
      <c r="J27" s="13">
        <f>IFERROR(IF(AND('Кормовой бюджет'!J21&gt;0,J24&lt;40),J30,J30+(-(-0.0000000031*J24^4+0.0000013234*J24^3-0.0002087068*J24^2+0.0142221655*J24-0.3126825057)*J30)),"")</f>
        <v>2.0266367252925752</v>
      </c>
    </row>
    <row r="28" spans="2:15" s="9" customFormat="1" x14ac:dyDescent="0.25">
      <c r="B28" s="9" t="s">
        <v>7</v>
      </c>
      <c r="C28" s="13">
        <f>IFERROR(IF(AND('Кормовой бюджет'!C21&gt;0,C24&lt;40),C30,C30+((-0.0000000031*C24^4+0.0000013234*C24^3-0.0002087068*C24^2+0.0142221655*C24-0.3126825057)*C30)),"")</f>
        <v>4.217978486308712</v>
      </c>
      <c r="D28" s="13">
        <f>IFERROR(IF(AND('Кормовой бюджет'!D21&gt;0,D24&lt;40),D30,D30+((-0.0000000031*D24^4+0.0000013234*D24^3-0.0002087068*D24^2+0.0142221655*D24-0.3126825057)*D30)),"")</f>
        <v>4.1271493911152417</v>
      </c>
      <c r="E28" s="13">
        <f>IFERROR(IF(AND('Кормовой бюджет'!E21&gt;0,E24&lt;40),E30,E30+((-0.0000000031*E24^4+0.0000013234*E24^3-0.0002087068*E24^2+0.0142221655*E24-0.3126825057)*E30)),"")</f>
        <v>3.8714756818278842</v>
      </c>
      <c r="F28" s="13">
        <f>IFERROR(IF(AND('Кормовой бюджет'!F21&gt;0,F24&lt;40),F30,F30+((-0.0000000031*F24^4+0.0000013234*F24^3-0.0002087068*F24^2+0.0142221655*F24-0.3126825057)*F30)),"")</f>
        <v>3.4089410811314154</v>
      </c>
      <c r="G28" s="13">
        <f>IFERROR(IF(AND('Кормовой бюджет'!G21&gt;0,G24&lt;40),G30,G30+((-0.0000000031*G24^4+0.0000013234*G24^3-0.0002087068*G24^2+0.0142221655*G24-0.3126825057)*G30)),"")</f>
        <v>2.9666277098215632</v>
      </c>
      <c r="H28" s="13">
        <f>IFERROR(IF(AND('Кормовой бюджет'!H21&gt;0,H24&lt;40),H30,H30+((-0.0000000031*H24^4+0.0000013234*H24^3-0.0002087068*H24^2+0.0142221655*H24-0.3126825057)*H30)),"")</f>
        <v>2.5256539922703278</v>
      </c>
      <c r="I28" s="13">
        <f>IFERROR(IF(AND('Кормовой бюджет'!I21&gt;0,I24&lt;40),I30,I30+((-0.0000000031*I24^4+0.0000013234*I24^3-0.0002087068*I24^2+0.0142221655*I24-0.3126825057)*I30)),"")</f>
        <v>2.2728767972635637</v>
      </c>
      <c r="J28" s="13">
        <f>IFERROR(IF(AND('Кормовой бюджет'!J21&gt;0,J24&lt;40),J30,J30+((-0.0000000031*J24^4+0.0000013234*J24^3-0.0002087068*J24^2+0.0142221655*J24-0.3126825057)*J30)),"")</f>
        <v>2.1663270291462062</v>
      </c>
    </row>
    <row r="29" spans="2:15" s="9" customFormat="1" x14ac:dyDescent="0.25">
      <c r="B29" s="9" t="s">
        <v>8</v>
      </c>
      <c r="C29" s="13">
        <f>IF('Кормовой бюджет'!C21,(IF((0.000042*(C20^2)-0.02372*(C20)+6.1452)*(0.0023*(C24)+0.9644)&lt;C28,C28,(0.000042*(C20^2)-0.02372*(C20)+6.1452)*(0.0023*(C24)+0.9644)))," ")</f>
        <v>5.6764503697571929</v>
      </c>
      <c r="D29" s="13">
        <f>IF('Кормовой бюджет'!D21,(IF((0.000042*(D20^2)-0.02372*(D20)+6.1452)*(0.0023*(D24)+0.9644)&lt;D28,D28,(0.000042*(D20^2)-0.02372*(D20)+6.1452)*(0.0023*(D24)+0.9644)))," ")</f>
        <v>5.579605147996948</v>
      </c>
      <c r="E29" s="13">
        <f>IF('Кормовой бюджет'!E21,(IF((0.000042*(E20^2)-0.02372*(E20)+6.1452)*(0.0023*(E24)+0.9644)&lt;E28,E28,(0.000042*(E20^2)-0.02372*(E20)+6.1452)*(0.0023*(E24)+0.9644)))," ")</f>
        <v>5.3034733959479379</v>
      </c>
      <c r="F29" s="13">
        <f>IF('Кормовой бюджет'!F21,(IF((0.000042*(F20^2)-0.02372*(F20)+6.1452)*(0.0023*(F24)+0.9644)&lt;F28,F28,(0.000042*(F20^2)-0.02372*(F20)+6.1452)*(0.0023*(F24)+0.9644)))," ")</f>
        <v>4.7925386562624075</v>
      </c>
      <c r="G29" s="13">
        <f>IF('Кормовой бюджет'!G21,(IF((0.000042*(G20^2)-0.02372*(G20)+6.1452)*(0.0023*(G24)+0.9644)&lt;G28,G28,(0.000042*(G20^2)-0.02372*(G20)+6.1452)*(0.0023*(G24)+0.9644)))," ")</f>
        <v>4.1931471391682944</v>
      </c>
      <c r="H29" s="13">
        <f>IF('Кормовой бюджет'!H21,(IF((0.000042*(H20^2)-0.02372*(H20)+6.1452)*(0.0023*(H24)+0.9644)&lt;H28,H28,(0.000042*(H20^2)-0.02372*(H20)+6.1452)*(0.0023*(H24)+0.9644)))," ")</f>
        <v>3.7181885203903429</v>
      </c>
      <c r="I29" s="13">
        <f>IF('Кормовой бюджет'!I21,(IF((0.000042*(I20^2)-0.02372*(I20)+6.1452)*(0.0023*(I24)+0.9644)&lt;I28,I28,(0.000042*(I20^2)-0.02372*(I20)+6.1452)*(0.0023*(I24)+0.9644)))," ")</f>
        <v>3.5187159794582707</v>
      </c>
      <c r="J29" s="13">
        <f>IF('Кормовой бюджет'!J21,(IF((0.000042*(J20^2)-0.02372*(J20)+6.1452)*(0.0023*(J24)+0.9644)&lt;J28,J28,(0.000042*(J20^2)-0.02372*(J20)+6.1452)*(0.0023*(J24)+0.9644)))," ")</f>
        <v>3.4792370542636184</v>
      </c>
    </row>
    <row r="30" spans="2:15" s="9" customFormat="1" x14ac:dyDescent="0.25">
      <c r="B30" s="9" t="s">
        <v>9</v>
      </c>
      <c r="C30" s="13">
        <f>IF(C32&gt;C31,C32,C31)</f>
        <v>4.217978486308712</v>
      </c>
      <c r="D30" s="13">
        <f t="shared" ref="D30:I30" si="3">IF(D32&gt;D31,D32,D31)</f>
        <v>4.1271493911152417</v>
      </c>
      <c r="E30" s="13">
        <f t="shared" si="3"/>
        <v>3.8714756818278842</v>
      </c>
      <c r="F30" s="13">
        <f t="shared" si="3"/>
        <v>3.4089410811314154</v>
      </c>
      <c r="G30" s="13">
        <f t="shared" si="3"/>
        <v>2.8739218384687182</v>
      </c>
      <c r="H30" s="13">
        <f t="shared" si="3"/>
        <v>2.4293240689722815</v>
      </c>
      <c r="I30" s="13">
        <f t="shared" si="3"/>
        <v>2.1951114481244121</v>
      </c>
      <c r="J30" s="13">
        <f>IF(J32&gt;J31,J32,J31)</f>
        <v>2.0964818772193907</v>
      </c>
    </row>
    <row r="31" spans="2:15" s="9" customFormat="1" x14ac:dyDescent="0.25">
      <c r="B31" s="9" t="s">
        <v>10</v>
      </c>
      <c r="C31" s="14">
        <f>IF('Кормовой бюджет'!C23&gt;0,((0.0000255654*(C18^2) - 0.0157978368*(C18) +4.4555073859))*0.85," ")</f>
        <v>3.6133593756113158</v>
      </c>
      <c r="D31" s="14">
        <f>IF('Кормовой бюджет'!D23&gt;0,((0.0000255654*(D18^2) - 0.0157978368*(D18) +4.4555073859))*0.85," ")</f>
        <v>3.5574129913440284</v>
      </c>
      <c r="E31" s="14">
        <f>IF('Кормовой бюджет'!E23&gt;0,((0.0000255654*(E18^2) - 0.0157978368*(E18) +4.4555073859))*0.85," ")</f>
        <v>3.4594096944510664</v>
      </c>
      <c r="F31" s="14">
        <f>IF('Кормовой бюджет'!F23&gt;0,((0.0000255654*(F18^2) - 0.0157978368*(F18) +4.4555073859))*0.85," ")</f>
        <v>3.1306600546017234</v>
      </c>
      <c r="G31" s="14">
        <f>IF('Кормовой бюджет'!G23&gt;0,((0.0000255654*(G18^2) - 0.0157978368*(G18) +4.4555073859))*0.85," ")</f>
        <v>2.6854505996435938</v>
      </c>
      <c r="H31" s="14">
        <f>IF('Кормовой бюджет'!H23&gt;0,((0.0000255654*(H18^2) - 0.0157978368*(H18) +4.4555073859))*0.85," ")</f>
        <v>2.234961972413275</v>
      </c>
      <c r="I31" s="14">
        <f>IF('Кормовой бюджет'!I23&gt;0,((0.0000255654*(I18^2) - 0.0157978368*(I18) +4.4555073859))*0.85," ")</f>
        <v>1.9282725717895985</v>
      </c>
      <c r="J31" s="14">
        <f>IF('Кормовой бюджет'!J23&gt;0,((0.0000255654*(J18^2) - 0.0157978368*(J18) +4.4555073859))*0.85," ")</f>
        <v>1.8140656751879758</v>
      </c>
    </row>
    <row r="32" spans="2:15" s="9" customFormat="1" x14ac:dyDescent="0.25">
      <c r="B32" s="9" t="s">
        <v>11</v>
      </c>
      <c r="C32" s="14">
        <f>IF('Кормовой бюджет'!C23&gt;0,((0.0000255654*(C20^2) - 0.0157978368*(C20) +4.4555073859))," ")</f>
        <v>4.217978486308712</v>
      </c>
      <c r="D32" s="14">
        <f>IF('Кормовой бюджет'!D23&gt;0,((0.0000255654*(D20^2) - 0.0157978368*(D20) +4.4555073859))," ")</f>
        <v>4.1271493911152417</v>
      </c>
      <c r="E32" s="14">
        <f>IF('Кормовой бюджет'!E23&gt;0,((0.0000255654*(E20^2) - 0.0157978368*(E20) +4.4555073859))," ")</f>
        <v>3.8714756818278842</v>
      </c>
      <c r="F32" s="14">
        <f>IF('Кормовой бюджет'!F23&gt;0,((0.0000255654*(F20^2) - 0.0157978368*(F20) +4.4555073859))," ")</f>
        <v>3.4089410811314154</v>
      </c>
      <c r="G32" s="14">
        <f>IF('Кормовой бюджет'!G23&gt;0,((0.0000255654*(G20^2) - 0.0157978368*(G20) +4.4555073859))," ")</f>
        <v>2.8739218384687182</v>
      </c>
      <c r="H32" s="14">
        <f>IF('Кормовой бюджет'!H23&gt;0,((0.0000255654*(H20^2) - 0.0157978368*(H20) +4.4555073859))," ")</f>
        <v>2.4293240689722815</v>
      </c>
      <c r="I32" s="14">
        <f>IF('Кормовой бюджет'!I23&gt;0,((0.0000255654*(I20^2) - 0.0157978368*(I20) +4.4555073859))," ")</f>
        <v>2.1951114481244121</v>
      </c>
      <c r="J32" s="14">
        <f>IF('Кормовой бюджет'!J23&gt;0,((0.0000255654*(J20^2) - 0.0157978368*(J20) +4.4555073859))," ")</f>
        <v>2.0964818772193907</v>
      </c>
    </row>
    <row r="33" spans="2:13" s="9" customFormat="1" x14ac:dyDescent="0.25">
      <c r="C33" s="10"/>
      <c r="D33" s="10"/>
      <c r="E33" s="10"/>
      <c r="F33" s="10"/>
      <c r="G33" s="10"/>
      <c r="M33" s="32"/>
    </row>
    <row r="34" spans="2:13" s="9" customFormat="1" x14ac:dyDescent="0.25">
      <c r="B34" s="5" t="s">
        <v>12</v>
      </c>
      <c r="C34" s="10"/>
      <c r="D34" s="10"/>
      <c r="E34" s="10"/>
      <c r="F34" s="10"/>
      <c r="G34" s="10"/>
      <c r="H34" s="10"/>
    </row>
    <row r="35" spans="2:13" s="9" customFormat="1" x14ac:dyDescent="0.25">
      <c r="B35" s="9" t="str">
        <f>B27</f>
        <v xml:space="preserve">     Barrows</v>
      </c>
      <c r="C35" s="13">
        <f t="shared" ref="C35:J36" si="4">IFERROR(IF(C$7&gt;0,(C27*(C$7)/10000)," "),"")</f>
        <v>1.4151317821565728</v>
      </c>
      <c r="D35" s="13">
        <f t="shared" si="4"/>
        <v>1.3846586207191636</v>
      </c>
      <c r="E35" s="13">
        <f t="shared" si="4"/>
        <v>1.2988800912532552</v>
      </c>
      <c r="F35" s="13">
        <f t="shared" si="4"/>
        <v>1.1436997327195899</v>
      </c>
      <c r="G35" s="13">
        <f t="shared" si="4"/>
        <v>0.93309795696737552</v>
      </c>
      <c r="H35" s="13">
        <f t="shared" si="4"/>
        <v>0.78271953587370591</v>
      </c>
      <c r="I35" s="13">
        <f t="shared" si="4"/>
        <v>0.71036961620955485</v>
      </c>
      <c r="J35" s="13">
        <f t="shared" si="4"/>
        <v>0.67993662133565891</v>
      </c>
    </row>
    <row r="36" spans="2:13" s="9" customFormat="1" x14ac:dyDescent="0.25">
      <c r="B36" s="9" t="str">
        <f>B28</f>
        <v xml:space="preserve">     Gilts</v>
      </c>
      <c r="C36" s="13">
        <f t="shared" si="4"/>
        <v>1.4151317821565728</v>
      </c>
      <c r="D36" s="13">
        <f t="shared" si="4"/>
        <v>1.3846586207191636</v>
      </c>
      <c r="E36" s="13">
        <f t="shared" si="4"/>
        <v>1.2988800912532552</v>
      </c>
      <c r="F36" s="13">
        <f t="shared" si="4"/>
        <v>1.1436997327195899</v>
      </c>
      <c r="G36" s="13">
        <f t="shared" si="4"/>
        <v>0.99530359664513457</v>
      </c>
      <c r="H36" s="13">
        <f t="shared" si="4"/>
        <v>0.84735691440669503</v>
      </c>
      <c r="I36" s="13">
        <f t="shared" si="4"/>
        <v>0.76255016548192567</v>
      </c>
      <c r="J36" s="13">
        <f t="shared" si="4"/>
        <v>0.72680271827855225</v>
      </c>
    </row>
    <row r="37" spans="2:13" s="9" customFormat="1" x14ac:dyDescent="0.25">
      <c r="B37" s="9" t="s">
        <v>9</v>
      </c>
      <c r="C37" s="13">
        <f t="shared" ref="C37:J37" si="5">IFERROR(IF(C$7&gt;0,(C30*(C$7)/10000)," "),"")</f>
        <v>1.4151317821565728</v>
      </c>
      <c r="D37" s="13">
        <f t="shared" si="5"/>
        <v>1.3846586207191636</v>
      </c>
      <c r="E37" s="13">
        <f t="shared" si="5"/>
        <v>1.2988800912532552</v>
      </c>
      <c r="F37" s="13">
        <f t="shared" si="5"/>
        <v>1.1436997327195899</v>
      </c>
      <c r="G37" s="13">
        <f t="shared" si="5"/>
        <v>0.96420077680625493</v>
      </c>
      <c r="H37" s="13">
        <f t="shared" si="5"/>
        <v>0.81503822514020041</v>
      </c>
      <c r="I37" s="13">
        <f t="shared" si="5"/>
        <v>0.73645989084574026</v>
      </c>
      <c r="J37" s="13">
        <f t="shared" si="5"/>
        <v>0.70336966980710558</v>
      </c>
    </row>
    <row r="38" spans="2:13" s="9" customFormat="1" x14ac:dyDescent="0.25">
      <c r="B38" s="225" t="str">
        <f>(IF(C32&lt;C31,"!",IF(D32&lt;D31,"!",IF(E32&lt;E31,"!",IF(F32&lt;F31,"!",IF(G32&lt;G31,"!",IF(H32&lt;H31,"!",IF(I32&lt;I31,"!",IF(J32&lt;J31,"!"," ")))))))))</f>
        <v xml:space="preserve"> </v>
      </c>
      <c r="C38" s="226" t="str">
        <f>IF(B38="!","Because the weight range is so wide, PIC biological requirement is set as 85% of the requirement at the beginning of the phase"," ")</f>
        <v xml:space="preserve"> </v>
      </c>
      <c r="D38" s="226"/>
      <c r="E38" s="226"/>
      <c r="F38" s="226"/>
      <c r="G38" s="226"/>
      <c r="H38" s="226"/>
      <c r="I38" s="226"/>
      <c r="J38" s="226"/>
    </row>
    <row r="39" spans="2:13" s="9" customFormat="1" x14ac:dyDescent="0.25">
      <c r="B39" s="225"/>
      <c r="C39" s="226"/>
      <c r="D39" s="226"/>
      <c r="E39" s="226"/>
      <c r="F39" s="226"/>
      <c r="G39" s="226"/>
      <c r="H39" s="226"/>
      <c r="I39" s="226"/>
      <c r="J39" s="226"/>
    </row>
    <row r="42" spans="2:13" x14ac:dyDescent="0.25">
      <c r="C42" s="3"/>
      <c r="D42" s="3"/>
      <c r="E42" s="3"/>
      <c r="F42" s="3"/>
      <c r="G42" s="3"/>
    </row>
    <row r="43" spans="2:13" x14ac:dyDescent="0.25">
      <c r="C43" s="3"/>
      <c r="D43" s="3"/>
      <c r="E43" s="3"/>
      <c r="F43" s="3"/>
      <c r="G43" s="3"/>
    </row>
  </sheetData>
  <mergeCells count="2">
    <mergeCell ref="B38:B39"/>
    <mergeCell ref="C38:J39"/>
  </mergeCells>
  <dataValidations count="5">
    <dataValidation type="decimal" errorStyle="warning" allowBlank="1" showInputMessage="1" showErrorMessage="1" error="Please double check your entry" sqref="N3" xr:uid="{2F95B622-5E02-4C69-A431-8C9CADB8ED8F}">
      <formula1>30</formula1>
      <formula2>150</formula2>
    </dataValidation>
    <dataValidation type="decimal" errorStyle="warning" allowBlank="1" showInputMessage="1" showErrorMessage="1" error="Please double check your entry" sqref="C4:C5 C7:J7" xr:uid="{0383CCF8-2C3E-43F0-B621-E455265B9E75}">
      <formula1>0.1</formula1>
      <formula2>1000000</formula2>
    </dataValidation>
    <dataValidation type="decimal" errorStyle="warning" allowBlank="1" showInputMessage="1" showErrorMessage="1" error="Please double check your entry" sqref="C3" xr:uid="{C461D4EB-7EAD-4A4A-9802-BD3E0F0AC207}">
      <formula1>0</formula1>
      <formula2>1000000</formula2>
    </dataValidation>
    <dataValidation errorStyle="warning" allowBlank="1" showInputMessage="1" showErrorMessage="1" error="This calculator is based on data between 11 and 150 kg. It is not recommended to use for body weight outside of this range." sqref="C12:J17" xr:uid="{55263CD8-7AA3-4030-B028-158B53078DEA}"/>
    <dataValidation allowBlank="1" showInputMessage="1" showErrorMessage="1" error="This calculator is based on data between 6 and 150 kg. It is not recommended to use for body weight outside of this range." sqref="C9:J10" xr:uid="{497B2F20-CAEB-4EE7-AE6C-B46CC9660FBA}"/>
  </dataValidation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7B405-9CF8-4CBD-865C-ED804D495A2C}">
  <sheetPr codeName="Sheet7"/>
  <dimension ref="B1:P24"/>
  <sheetViews>
    <sheetView showGridLines="0" topLeftCell="A7" zoomScale="145" zoomScaleNormal="145" workbookViewId="0">
      <selection activeCell="H26" sqref="H26"/>
    </sheetView>
  </sheetViews>
  <sheetFormatPr defaultRowHeight="15" x14ac:dyDescent="0.25"/>
  <cols>
    <col min="2" max="2" width="27.140625" bestFit="1" customWidth="1"/>
    <col min="3" max="3" width="12.7109375" bestFit="1" customWidth="1"/>
    <col min="4" max="4" width="10.85546875" bestFit="1" customWidth="1"/>
    <col min="5" max="5" width="9.5703125" bestFit="1" customWidth="1"/>
  </cols>
  <sheetData>
    <row r="1" spans="2:16" s="7" customFormat="1" ht="121.5" customHeight="1" x14ac:dyDescent="0.25">
      <c r="C1" s="8"/>
      <c r="D1" s="8"/>
      <c r="E1" s="8"/>
      <c r="F1" s="8"/>
      <c r="G1" s="8"/>
    </row>
    <row r="2" spans="2:16" s="7" customFormat="1" ht="17.25" customHeight="1" x14ac:dyDescent="0.25">
      <c r="B2" s="57" t="s">
        <v>32</v>
      </c>
      <c r="C2" s="8"/>
      <c r="D2" s="8"/>
      <c r="E2" s="8"/>
      <c r="F2" s="8"/>
      <c r="G2" s="8"/>
    </row>
    <row r="3" spans="2:16" s="9" customFormat="1" x14ac:dyDescent="0.25">
      <c r="B3" s="5" t="s">
        <v>2</v>
      </c>
      <c r="C3" s="142">
        <f>'Curve-Barrows'!H3</f>
        <v>5.9425449780322959</v>
      </c>
      <c r="D3" s="142">
        <f>IF('Кормовой бюджет'!D21&gt;0,C4,"")</f>
        <v>7.9220727623147207</v>
      </c>
      <c r="E3" s="142">
        <f>IF('Кормовой бюджет'!E21&gt;0,D4,"")</f>
        <v>11.463456715984316</v>
      </c>
      <c r="F3" s="142">
        <f>IF('Кормовой бюджет'!F21&gt;0,E4,"")</f>
        <v>24.157720482159402</v>
      </c>
      <c r="G3" s="142">
        <f>IF('Кормовой бюджет'!G21&gt;0,F4,"")</f>
        <v>43.763005553767456</v>
      </c>
      <c r="H3" s="142">
        <f>IF('Кормовой бюджет'!H21&gt;0,G4,"")</f>
        <v>60.469102935620889</v>
      </c>
      <c r="I3" s="142">
        <f>IF('Кормовой бюджет'!I21&gt;0,H4,"")</f>
        <v>89.818034016046113</v>
      </c>
      <c r="J3" s="142">
        <f>IF('Кормовой бюджет'!J21&gt;0,I4,"")</f>
        <v>97.860274977008217</v>
      </c>
    </row>
    <row r="4" spans="2:16" s="9" customFormat="1" x14ac:dyDescent="0.25">
      <c r="B4" s="5" t="s">
        <v>3</v>
      </c>
      <c r="C4" s="142">
        <f>IF('Кормовой бюджет'!C21&gt;0,VLOOKUP(C16,'Curve-Barrows'!$H$3:$J$185,1),"")</f>
        <v>7.9220727623147207</v>
      </c>
      <c r="D4" s="142">
        <f>IF('Кормовой бюджет'!D21&gt;0,VLOOKUP(D16,'Curve-Barrows'!$H$3:$J$185,1),"")</f>
        <v>11.463456715984316</v>
      </c>
      <c r="E4" s="142">
        <f>IF('Кормовой бюджет'!E21&gt;0,VLOOKUP(E16,'Curve-Barrows'!$H$3:$J$185,1),"")</f>
        <v>24.157720482159402</v>
      </c>
      <c r="F4" s="142">
        <f>IF('Кормовой бюджет'!F21&gt;0,VLOOKUP(F16,'Curve-Barrows'!$H$3:$J$185,1),"")</f>
        <v>43.763005553767456</v>
      </c>
      <c r="G4" s="142">
        <f>IF('Кормовой бюджет'!G21&gt;0,VLOOKUP(G16,'Curve-Barrows'!$H$3:$J$185,1),"")</f>
        <v>60.469102935620889</v>
      </c>
      <c r="H4" s="34">
        <f>IF('Кормовой бюджет'!H21&gt;0,VLOOKUP(H16,'Curve-Barrows'!$H$3:$J$185,1),"")</f>
        <v>89.818034016046113</v>
      </c>
      <c r="I4" s="34">
        <f>IF('Кормовой бюджет'!I21&gt;0,VLOOKUP(I16,'Curve-Barrows'!$H$3:$J$185,1),"")</f>
        <v>97.860274977008217</v>
      </c>
      <c r="J4" s="34">
        <f>IF('Кормовой бюджет'!J21&gt;0,VLOOKUP(J16,'Curve-Barrows'!$H$3:$J$185,1),"")</f>
        <v>123.81899243132042</v>
      </c>
    </row>
    <row r="5" spans="2:16" s="9" customFormat="1" x14ac:dyDescent="0.25">
      <c r="B5" s="5" t="s">
        <v>22</v>
      </c>
      <c r="C5" s="34">
        <f>IFERROR(IF('Кормовой бюджет'!D$21&gt;0,(C7-C6),(C7-C6+'Adj-Barrows'!$I$4))," ")</f>
        <v>2.376035051174902</v>
      </c>
      <c r="D5" s="34">
        <f>IFERROR(IF('Кормовой бюджет'!E$21&gt;0,(D7-D6),(D7-D6+'Adj-Barrows'!$I$4))," ")</f>
        <v>4.7809490931645051</v>
      </c>
      <c r="E5" s="34">
        <f>IFERROR(IF('Кормовой бюджет'!F$21&gt;0,(E7-E6),(E7-E6+'Adj-Barrows'!$I$4))," ")</f>
        <v>20.116580865291201</v>
      </c>
      <c r="F5" s="34">
        <f>IFERROR(IF('Кормовой бюджет'!G$21&gt;0,(F7-F6),(F7-F6+'Adj-Barrows'!$I$4))," ")</f>
        <v>38.941397487662165</v>
      </c>
      <c r="G5" s="34">
        <f>IFERROR(IF('Кормовой бюджет'!H$21&gt;0,(G7-G6),(G7-G6+'Adj-Barrows'!$I$4))," ")</f>
        <v>39.752389277591035</v>
      </c>
      <c r="H5" s="34">
        <f>IFERROR(IF('Кормовой бюджет'!I$21&gt;0,(H7-H6),(H7-H6+'Adj-Barrows'!$I$4))," ")</f>
        <v>81.036982807656386</v>
      </c>
      <c r="I5" s="34">
        <f>IFERROR(IF('Кормовой бюджет'!J$21&gt;0,(I7-I6),(I7-I6+'Adj-Barrows'!$I$4))," ")</f>
        <v>24.098274513767109</v>
      </c>
      <c r="J5" s="34">
        <f>IFERROR(IF('Кормовой бюджет'!K$21&gt;0,(J7-J6),(J7-J6+'Adj-Barrows'!$I$4))," ")</f>
        <v>82.851097401554711</v>
      </c>
    </row>
    <row r="6" spans="2:16" s="9" customFormat="1" x14ac:dyDescent="0.25">
      <c r="B6" s="5"/>
      <c r="C6" s="34">
        <v>0</v>
      </c>
      <c r="D6" s="34">
        <f>IF('Кормовой бюджет'!D$21&gt;0,VLOOKUP(D15,'Curve-Barrows'!$H$3:$K$185,4),"")</f>
        <v>2.376035051174902</v>
      </c>
      <c r="E6" s="34">
        <f>IF('Кормовой бюджет'!E$21&gt;0,VLOOKUP(E15,'Curve-Barrows'!$H$3:$K$185,4),"")</f>
        <v>7.1569841443394075</v>
      </c>
      <c r="F6" s="34">
        <f>IF('Кормовой бюджет'!F$21&gt;0,VLOOKUP(F15,'Curve-Barrows'!$H$3:$K$185,4),"")</f>
        <v>27.273565009630609</v>
      </c>
      <c r="G6" s="34">
        <f>IF('Кормовой бюджет'!G$21&gt;0,VLOOKUP(G15,'Curve-Barrows'!$H$3:$K$185,4),"")</f>
        <v>66.214962497292774</v>
      </c>
      <c r="H6" s="34">
        <f>IF('Кормовой бюджет'!H$21&gt;0,VLOOKUP(H15,'Curve-Barrows'!$H$3:$K$185,4),"")</f>
        <v>105.96735177488381</v>
      </c>
      <c r="I6" s="34">
        <f>IF('Кормовой бюджет'!I$21&gt;0,VLOOKUP(I15,'Curve-Barrows'!$H$3:$K$185,4),"")</f>
        <v>187.0043345825402</v>
      </c>
      <c r="J6" s="34">
        <f>IF('Кормовой бюджет'!J$21&gt;0,VLOOKUP(J15,'Curve-Barrows'!$H$3:$K$185,4),"")</f>
        <v>211.1026090963073</v>
      </c>
    </row>
    <row r="7" spans="2:16" s="9" customFormat="1" x14ac:dyDescent="0.25">
      <c r="B7" s="5"/>
      <c r="C7" s="34">
        <f>IF('Кормовой бюджет'!C$21&gt;0,VLOOKUP(C16,'Curve-Barrows'!$H$3:$K$185,4),"")</f>
        <v>2.376035051174902</v>
      </c>
      <c r="D7" s="34">
        <f>IF('Кормовой бюджет'!D$21&gt;0,VLOOKUP(D16,'Curve-Barrows'!$H$3:$K$185,4),"")</f>
        <v>7.1569841443394075</v>
      </c>
      <c r="E7" s="34">
        <f>IF('Кормовой бюджет'!E$21&gt;0,VLOOKUP(E16,'Curve-Barrows'!$H$3:$K$185,4),"")</f>
        <v>27.273565009630609</v>
      </c>
      <c r="F7" s="34">
        <f>IF('Кормовой бюджет'!F$21&gt;0,VLOOKUP(F16,'Curve-Barrows'!$H$3:$K$185,4),"")</f>
        <v>66.214962497292774</v>
      </c>
      <c r="G7" s="34">
        <f>IF('Кормовой бюджет'!G$21&gt;0,VLOOKUP(G16,'Curve-Barrows'!$H$3:$K$185,4),"")</f>
        <v>105.96735177488381</v>
      </c>
      <c r="H7" s="34">
        <f>IF('Кормовой бюджет'!H$21&gt;0,VLOOKUP(H16,'Curve-Barrows'!$H$3:$K$185,4),"")</f>
        <v>187.0043345825402</v>
      </c>
      <c r="I7" s="34">
        <f>IF('Кормовой бюджет'!I$21&gt;0,VLOOKUP(I16,'Curve-Barrows'!$H$3:$K$185,4),"")</f>
        <v>211.1026090963073</v>
      </c>
      <c r="J7" s="34">
        <f>IF('Кормовой бюджет'!J$21&gt;0,VLOOKUP(J16,'Curve-Barrows'!$H$3:$K$185,4),"")</f>
        <v>293.95370649786202</v>
      </c>
    </row>
    <row r="8" spans="2:16" s="9" customFormat="1" x14ac:dyDescent="0.25">
      <c r="B8" s="5" t="s">
        <v>18</v>
      </c>
      <c r="C8" s="11">
        <f>IFERROR(IF('Кормовой бюджет'!D$21&gt;0,(C10-C9),(C10-C9+1)),"")</f>
        <v>10</v>
      </c>
      <c r="D8" s="11">
        <f>IFERROR(IF('Кормовой бюджет'!E$21&gt;0,(D10-D9),(D10-D9+1)),"")</f>
        <v>9</v>
      </c>
      <c r="E8" s="11">
        <f>IFERROR(IF('Кормовой бюджет'!F$21&gt;0,(E10-E9),(E10-E9+1)),"")</f>
        <v>21</v>
      </c>
      <c r="F8" s="11">
        <f>IFERROR(IF('Кормовой бюджет'!G$21&gt;0,(F10-F9),(F10-F9+1)),"")</f>
        <v>22</v>
      </c>
      <c r="G8" s="11">
        <f>IFERROR(IF('Кормовой бюджет'!H$21&gt;0,(G10-G9),(G10-G9+1)),"")</f>
        <v>16</v>
      </c>
      <c r="H8" s="11">
        <f>IFERROR(IF('Кормовой бюджет'!I$21&gt;0,(H10-H9),(H10-H9+1)),"")</f>
        <v>26</v>
      </c>
      <c r="I8" s="11">
        <f>IFERROR(IF('Кормовой бюджет'!J$21&gt;0,(I10-I9),(I10-I9+1)),"")</f>
        <v>7</v>
      </c>
      <c r="J8" s="11">
        <f>IFERROR(IF('Кормовой бюджет'!K$21&gt;0,(J10-J9),(J10-J9+1)),"")</f>
        <v>24</v>
      </c>
    </row>
    <row r="9" spans="2:16" s="9" customFormat="1" x14ac:dyDescent="0.25">
      <c r="B9" s="5"/>
      <c r="C9" s="11">
        <f>IF('Кормовой бюджет'!C$21&gt;0,VLOOKUP(C3,'Curve-Barrows'!$H$3:$K$185,2),"")</f>
        <v>21</v>
      </c>
      <c r="D9" s="11">
        <f>IF('Кормовой бюджет'!D$21&gt;0,VLOOKUP(D3,'Curve-Barrows'!$H$3:$K$185,2),"")</f>
        <v>31</v>
      </c>
      <c r="E9" s="11">
        <f>IF('Кормовой бюджет'!E$21&gt;0,VLOOKUP(E3,'Curve-Barrows'!$H$3:$K$185,2),"")</f>
        <v>40</v>
      </c>
      <c r="F9" s="11">
        <f>IF('Кормовой бюджет'!F$21&gt;0,VLOOKUP(F3,'Curve-Barrows'!$H$3:$K$185,2),"")</f>
        <v>61</v>
      </c>
      <c r="G9" s="11">
        <f>IF('Кормовой бюджет'!G$21&gt;0,VLOOKUP(G3,'Curve-Barrows'!$H$3:$K$185,2),"")</f>
        <v>83</v>
      </c>
      <c r="H9" s="11">
        <f>IF('Кормовой бюджет'!H$21&gt;0,VLOOKUP(H3,'Curve-Barrows'!$H$3:$K$185,2),"")</f>
        <v>99</v>
      </c>
      <c r="I9" s="11">
        <f>IF('Кормовой бюджет'!I$21&gt;0,VLOOKUP(I3,'Curve-Barrows'!$H$3:$K$185,2),"")</f>
        <v>125</v>
      </c>
      <c r="J9" s="11">
        <f>IF('Кормовой бюджет'!J$21&gt;0,VLOOKUP(J3,'Curve-Barrows'!$H$3:$K$185,2),"")</f>
        <v>132</v>
      </c>
    </row>
    <row r="10" spans="2:16" s="9" customFormat="1" x14ac:dyDescent="0.25">
      <c r="B10" s="5"/>
      <c r="C10" s="11">
        <f>IF('Кормовой бюджет'!C$21&gt;0,VLOOKUP(C4,'Curve-Barrows'!$H$3:$K$185,2),"")</f>
        <v>31</v>
      </c>
      <c r="D10" s="11">
        <f>IF('Кормовой бюджет'!D$21&gt;0,VLOOKUP(D4,'Curve-Barrows'!$H$3:$K$185,2),"")</f>
        <v>40</v>
      </c>
      <c r="E10" s="11">
        <f>IF('Кормовой бюджет'!E$21&gt;0,VLOOKUP(E4,'Curve-Barrows'!$H$3:$K$185,2),"")</f>
        <v>61</v>
      </c>
      <c r="F10" s="11">
        <f>IF('Кормовой бюджет'!F$21&gt;0,VLOOKUP(F4,'Curve-Barrows'!$H$3:$K$185,2),"")</f>
        <v>83</v>
      </c>
      <c r="G10" s="11">
        <f>IF('Кормовой бюджет'!G$21&gt;0,VLOOKUP(G4,'Curve-Barrows'!$H$3:$K$185,2),"")</f>
        <v>99</v>
      </c>
      <c r="H10" s="11">
        <f>IF('Кормовой бюджет'!H$21&gt;0,VLOOKUP(H4,'Curve-Barrows'!$H$3:$K$185,2),"")</f>
        <v>125</v>
      </c>
      <c r="I10" s="11">
        <f>IF('Кормовой бюджет'!I$21&gt;0,VLOOKUP(I4,'Curve-Barrows'!$H$3:$K$185,2),"")</f>
        <v>132</v>
      </c>
      <c r="J10" s="11">
        <f>IF('Кормовой бюджет'!J$21&gt;0,VLOOKUP(J4,'Curve-Barrows'!$H$3:$K$185,2),"")</f>
        <v>155</v>
      </c>
    </row>
    <row r="11" spans="2:16" s="9" customFormat="1" x14ac:dyDescent="0.25">
      <c r="B11" s="9" t="s">
        <v>4</v>
      </c>
      <c r="C11" s="13">
        <f>IF('Кормовой бюджет'!C21&gt;0,CONVERT(C3*1000,"g","lbm")," ")</f>
        <v>13.101069089923836</v>
      </c>
      <c r="D11" s="11">
        <f>IF('Кормовой бюджет'!D21&gt;0,CONVERT(D15*1000,"g","lbm")," ")</f>
        <v>17.739611139112828</v>
      </c>
      <c r="E11" s="11">
        <f>IF('Кормовой бюджет'!E21&gt;0,CONVERT(E15*1000,"g","lbm")," ")</f>
        <v>25.331435719031639</v>
      </c>
      <c r="F11" s="11">
        <f>IF('Кормовой бюджет'!F21&gt;0,CONVERT(F15*1000,"g","lbm")," ")</f>
        <v>53.654856658608431</v>
      </c>
      <c r="G11" s="11">
        <f>IF('Кормовой бюджет'!G21&gt;0,CONVERT(G15*1000,"g","lbm")," ")</f>
        <v>97.271230245506899</v>
      </c>
      <c r="H11" s="11">
        <f>IF('Кормовой бюджет'!H21&gt;0,CONVERT(H15*1000,"g","lbm")," ")</f>
        <v>134.79741702926469</v>
      </c>
      <c r="I11" s="11">
        <f>IF('Кормовой бюджет'!I21&gt;0,CONVERT(I15*1000,"g","lbm")," ")</f>
        <v>200.47505624662045</v>
      </c>
      <c r="J11" s="11">
        <f>IF('Кормовой бюджет'!J21&gt;0,CONVERT(J15*1000,"g","lbm")," ")</f>
        <v>216.59000153945945</v>
      </c>
    </row>
    <row r="12" spans="2:16" s="9" customFormat="1" x14ac:dyDescent="0.25">
      <c r="B12" s="9" t="s">
        <v>5</v>
      </c>
      <c r="C12" s="11">
        <f>IF('Кормовой бюджет'!C21&gt;0,CONVERT(C16*1000,"g","lbm")," ")</f>
        <v>17.739611139112828</v>
      </c>
      <c r="D12" s="11">
        <f>IF('Кормовой бюджет'!D21&gt;0,CONVERT(D16*1000,"g","lbm")," ")</f>
        <v>25.331435719031639</v>
      </c>
      <c r="E12" s="11">
        <f>IF('Кормовой бюджет'!E21&gt;0,CONVERT(E16*1000,"g","lbm")," ")</f>
        <v>53.654856658608431</v>
      </c>
      <c r="F12" s="11">
        <f>IF('Кормовой бюджет'!F21&gt;0,CONVERT(F16*1000,"g","lbm")," ")</f>
        <v>97.271230245506899</v>
      </c>
      <c r="G12" s="11">
        <f>IF('Кормовой бюджет'!G21&gt;0,CONVERT(G16*1000,"g","lbm")," ")</f>
        <v>134.79741702926469</v>
      </c>
      <c r="H12" s="11">
        <f>IF('Кормовой бюджет'!H21&gt;0,CONVERT(H16*1000,"g","lbm")," ")</f>
        <v>200.47505624662045</v>
      </c>
      <c r="I12" s="11">
        <f>IF('Кормовой бюджет'!I21&gt;0,CONVERT(I16*1000,"g","lbm")," ")</f>
        <v>216.59000153945945</v>
      </c>
      <c r="J12" s="11">
        <f>IF('Кормовой бюджет'!J21&gt;0,CONVERT(J16*1000,"g","lbm")," ")</f>
        <v>272.97415172861133</v>
      </c>
    </row>
    <row r="13" spans="2:16" s="9" customFormat="1" x14ac:dyDescent="0.25">
      <c r="C13" s="85">
        <f>IFERROR(IF(C11&gt;0,AVERAGE(C11:C12)," "),"")</f>
        <v>15.420340114518332</v>
      </c>
      <c r="D13" s="12">
        <f t="shared" ref="D13:J13" si="0">IFERROR(IF(D11&gt;0,AVERAGE(D11:D12)," "),"")</f>
        <v>21.535523429072235</v>
      </c>
      <c r="E13" s="12">
        <f t="shared" si="0"/>
        <v>39.493146188820035</v>
      </c>
      <c r="F13" s="12">
        <f t="shared" si="0"/>
        <v>75.463043452057661</v>
      </c>
      <c r="G13" s="12">
        <f t="shared" si="0"/>
        <v>116.0343236373858</v>
      </c>
      <c r="H13" s="12">
        <f t="shared" si="0"/>
        <v>167.63623663794257</v>
      </c>
      <c r="I13" s="12">
        <f t="shared" si="0"/>
        <v>208.53252889303997</v>
      </c>
      <c r="J13" s="12">
        <f t="shared" si="0"/>
        <v>244.78207663403538</v>
      </c>
    </row>
    <row r="14" spans="2:16" s="9" customFormat="1" x14ac:dyDescent="0.25">
      <c r="C14" s="12"/>
      <c r="D14" s="12"/>
      <c r="E14" s="12"/>
      <c r="F14" s="12"/>
      <c r="G14" s="12"/>
      <c r="H14" s="10"/>
      <c r="O14" s="41"/>
      <c r="P14" s="41"/>
    </row>
    <row r="15" spans="2:16" s="9" customFormat="1" x14ac:dyDescent="0.25">
      <c r="B15" s="9" t="s">
        <v>2</v>
      </c>
      <c r="C15" s="140">
        <f>'Curve-Barrows'!H3</f>
        <v>5.9425449780322959</v>
      </c>
      <c r="D15" s="140">
        <f>IF('Кормовой бюджет'!D23&gt;0,C16,"")</f>
        <v>8.0465522594685872</v>
      </c>
      <c r="E15" s="140">
        <f>IF('Кормовой бюджет'!E23&gt;0,D16,"")</f>
        <v>11.490145963298215</v>
      </c>
      <c r="F15" s="140">
        <f>IF('Кормовой бюджет'!F23&gt;0,E16,"")</f>
        <v>24.337433593788479</v>
      </c>
      <c r="G15" s="140">
        <f>IF('Кормовой бюджет'!G23&gt;0,F16,"")</f>
        <v>44.12148785987516</v>
      </c>
      <c r="H15" s="50">
        <f>IF('Кормовой бюджет'!H23&gt;0,G16,"")</f>
        <v>61.143079860182539</v>
      </c>
      <c r="I15" s="50">
        <f>IF('Кормовой бюджет'!I23&gt;0,H16,"")</f>
        <v>90.933955888787878</v>
      </c>
      <c r="J15" s="50">
        <f>IF('Кормовой бюджет'!J23&gt;0,I16,"")</f>
        <v>98.24357211658706</v>
      </c>
    </row>
    <row r="16" spans="2:16" s="9" customFormat="1" x14ac:dyDescent="0.25">
      <c r="B16" s="9" t="s">
        <v>3</v>
      </c>
      <c r="C16" s="140">
        <f>IF(IF('Кормовой бюджет'!D21&gt;0,(2*(CONVERT(C24,"lbm","kg"))-C15),MAX('I-Mixed'!C10:J10))&gt;0,IF('Кормовой бюджет'!D21&gt;0,(2*(CONVERT(C24,"lbm","kg"))-C15),MAX('Curve-Barrows'!$H$3:$H$185)),"")</f>
        <v>8.0465522594685872</v>
      </c>
      <c r="D16" s="140">
        <f>IF(IF('Кормовой бюджет'!E21&gt;0,(2*(CONVERT(D24,"lbm","kg"))-D15),MAX('I-Mixed'!D10:K10))&gt;0,IF('Кормовой бюджет'!E21&gt;0,(2*(CONVERT(D24,"lbm","kg"))-D15),MAX('Curve-Barrows'!$H$3:$H$185)),"")</f>
        <v>11.490145963298215</v>
      </c>
      <c r="E16" s="140">
        <f>IF(IF('Кормовой бюджет'!F21&gt;0,(2*(CONVERT(E24,"lbm","kg"))-E15),MAX('I-Mixed'!E10:L10))&gt;0,IF('Кормовой бюджет'!F21&gt;0,(2*(CONVERT(E24,"lbm","kg"))-E15),MAX('Curve-Barrows'!$H$3:$H$185)),"")</f>
        <v>24.337433593788479</v>
      </c>
      <c r="F16" s="140">
        <f>IF(IF('Кормовой бюджет'!G21&gt;0,(2*(CONVERT(F24,"lbm","kg"))-F15),MAX('I-Mixed'!F10:M10))&gt;0,IF('Кормовой бюджет'!G21&gt;0,(2*(CONVERT(F24,"lbm","kg"))-F15),MAX('Curve-Barrows'!$H$3:$H$185)),"")</f>
        <v>44.12148785987516</v>
      </c>
      <c r="G16" s="140">
        <f>IF(IF('Кормовой бюджет'!H21&gt;0,(2*(CONVERT(G24,"lbm","kg"))-G15),MAX('I-Mixed'!G10:N10))&gt;0,IF('Кормовой бюджет'!H21&gt;0,(2*(CONVERT(G24,"lbm","kg"))-G15),MAX('Curve-Barrows'!$H$3:$H$185)),"")</f>
        <v>61.143079860182539</v>
      </c>
      <c r="H16" s="125">
        <f>IF(IF('Кормовой бюджет'!I21&gt;0,(2*(CONVERT(H24,"lbm","kg"))-H15),MAX('I-Mixed'!H10:O10))&gt;0,IF('Кормовой бюджет'!I21&gt;0,(2*(CONVERT(H24,"lbm","kg"))-H15),MAX('Curve-Barrows'!$H$3:$H$185)),"")</f>
        <v>90.933955888787878</v>
      </c>
      <c r="I16" s="125">
        <f>IF(IF('Кормовой бюджет'!J21&gt;0,(2*(CONVERT(I24,"lbm","kg"))-I15),MAX('I-Mixed'!I10:P10))&gt;0,IF('Кормовой бюджет'!J21&gt;0,(2*(CONVERT(I24,"lbm","kg"))-I15),MAX('Curve-Barrows'!$H$3:$H$185)),"")</f>
        <v>98.24357211658706</v>
      </c>
      <c r="J16" s="42">
        <f>IF(IF('Кормовой бюджет'!K21&gt;0,(2*(CONVERT(J24,"lbm","kg"))-J15),MAX('I-Mixed'!J10:Q10))&gt;0,IF('Кормовой бюджет'!K21&gt;0,(2*(CONVERT(J24,"lbm","kg"))-J15),MAX('Curve-Barrows'!$H$3:$H$185)),"")</f>
        <v>123.81899243132042</v>
      </c>
    </row>
    <row r="18" spans="2:10" x14ac:dyDescent="0.25">
      <c r="B18" s="9" t="s">
        <v>36</v>
      </c>
      <c r="C18" s="9">
        <f>IF('Кормовой бюджет'!C21&gt;0,0.0000255654,"")</f>
        <v>2.5565400000000001E-5</v>
      </c>
      <c r="D18" s="9">
        <f>IF('Кормовой бюджет'!D21&gt;0,0.0000255654,"")</f>
        <v>2.5565400000000001E-5</v>
      </c>
      <c r="E18" s="9">
        <f>IF('Кормовой бюджет'!E21&gt;0,0.0000255654,"")</f>
        <v>2.5565400000000001E-5</v>
      </c>
      <c r="F18" s="9">
        <f>IF('Кормовой бюджет'!F21&gt;0,0.0000255654,"")</f>
        <v>2.5565400000000001E-5</v>
      </c>
      <c r="G18" s="9">
        <f>IF('Кормовой бюджет'!G21&gt;0,0.0000255654,"")</f>
        <v>2.5565400000000001E-5</v>
      </c>
      <c r="H18" s="9">
        <f>IF('Кормовой бюджет'!H21&gt;0,0.0000255654,"")</f>
        <v>2.5565400000000001E-5</v>
      </c>
      <c r="I18" s="9">
        <f>IF('Кормовой бюджет'!I21&gt;0,0.0000255654,"")</f>
        <v>2.5565400000000001E-5</v>
      </c>
      <c r="J18" s="9">
        <f>IF('Кормовой бюджет'!J21&gt;0,0.0000255654,"")</f>
        <v>2.5565400000000001E-5</v>
      </c>
    </row>
    <row r="19" spans="2:10" x14ac:dyDescent="0.25">
      <c r="B19" s="9" t="s">
        <v>37</v>
      </c>
      <c r="C19" s="9">
        <f>IF('Кормовой бюджет'!C21&gt;0,-0.0157978368,"")</f>
        <v>-1.5797836799999999E-2</v>
      </c>
      <c r="D19" s="9">
        <f>IF('Кормовой бюджет'!D21&gt;0,-0.0157978368,"")</f>
        <v>-1.5797836799999999E-2</v>
      </c>
      <c r="E19" s="9">
        <f>IF('Кормовой бюджет'!E21&gt;0,-0.0157978368,"")</f>
        <v>-1.5797836799999999E-2</v>
      </c>
      <c r="F19" s="9">
        <f>IF('Кормовой бюджет'!F21&gt;0,-0.0157978368,"")</f>
        <v>-1.5797836799999999E-2</v>
      </c>
      <c r="G19" s="9">
        <f>IF('Кормовой бюджет'!G21&gt;0,-0.0157978368,"")</f>
        <v>-1.5797836799999999E-2</v>
      </c>
      <c r="H19" s="9">
        <f>IF('Кормовой бюджет'!H21&gt;0,-0.0157978368,"")</f>
        <v>-1.5797836799999999E-2</v>
      </c>
      <c r="I19" s="9">
        <f>IF('Кормовой бюджет'!I21&gt;0,-0.0157978368,"")</f>
        <v>-1.5797836799999999E-2</v>
      </c>
      <c r="J19" s="9">
        <f>IF('Кормовой бюджет'!J21&gt;0,-0.0157978368,"")</f>
        <v>-1.5797836799999999E-2</v>
      </c>
    </row>
    <row r="20" spans="2:10" x14ac:dyDescent="0.25">
      <c r="B20" s="9" t="s">
        <v>38</v>
      </c>
      <c r="C20" s="9">
        <f>IF('Кормовой бюджет'!C21&gt;0,4.4555073859,"")</f>
        <v>4.4555073858999998</v>
      </c>
      <c r="D20" s="9">
        <f>IF('Кормовой бюджет'!D21&gt;0,4.4555073859,"")</f>
        <v>4.4555073858999998</v>
      </c>
      <c r="E20" s="9">
        <f>IF('Кормовой бюджет'!E21&gt;0,4.4555073859,"")</f>
        <v>4.4555073858999998</v>
      </c>
      <c r="F20" s="9">
        <f>IF('Кормовой бюджет'!F21&gt;0,4.4555073859,"")</f>
        <v>4.4555073858999998</v>
      </c>
      <c r="G20" s="9">
        <f>IF('Кормовой бюджет'!G21&gt;0,4.4555073859,"")</f>
        <v>4.4555073858999998</v>
      </c>
      <c r="H20" s="9">
        <f>IF('Кормовой бюджет'!H21&gt;0,4.4555073859,"")</f>
        <v>4.4555073858999998</v>
      </c>
      <c r="I20" s="9">
        <f>IF('Кормовой бюджет'!I21&gt;0,4.4555073859,"")</f>
        <v>4.4555073858999998</v>
      </c>
      <c r="J20" s="9">
        <f>IF('Кормовой бюджет'!J21&gt;0,4.4555073859,"")</f>
        <v>4.4555073858999998</v>
      </c>
    </row>
    <row r="21" spans="2:10" x14ac:dyDescent="0.25">
      <c r="B21" s="9" t="s">
        <v>39</v>
      </c>
      <c r="C21" s="54">
        <f>IF('Кормовой бюджет'!C21&gt;0,'I-Mixed'!C28," ")</f>
        <v>4.217978486308712</v>
      </c>
      <c r="D21" s="54">
        <f>IF('Кормовой бюджет'!D21&gt;0,'I-Mixed'!D28," ")</f>
        <v>4.1271493911152417</v>
      </c>
      <c r="E21" s="54">
        <f>IF('Кормовой бюджет'!E21&gt;0,'I-Mixed'!E28," ")</f>
        <v>3.8714756818278842</v>
      </c>
      <c r="F21" s="54">
        <f>IF('Кормовой бюджет'!F21&gt;0,'I-Mixed'!F28," ")</f>
        <v>3.4089410811314154</v>
      </c>
      <c r="G21" s="54">
        <f>IF('Кормовой бюджет'!G21&gt;0,'I-Mixed'!G28," ")</f>
        <v>2.9666277098215632</v>
      </c>
      <c r="H21" s="54">
        <f>IF('Кормовой бюджет'!H21&gt;0,'I-Mixed'!H28," ")</f>
        <v>2.5256539922703278</v>
      </c>
      <c r="I21" s="54">
        <f>IF('Кормовой бюджет'!I21&gt;0,'I-Mixed'!I28," ")</f>
        <v>2.2728767972635637</v>
      </c>
      <c r="J21" s="54">
        <f>IF('Кормовой бюджет'!J21&gt;0,'I-Mixed'!J28," ")</f>
        <v>2.1663270291462062</v>
      </c>
    </row>
    <row r="22" spans="2:10" x14ac:dyDescent="0.25">
      <c r="B22" s="9" t="s">
        <v>40</v>
      </c>
      <c r="C22" s="9">
        <f>IF('Кормовой бюджет'!C21&gt;0,SQRT((C19)^2-4*C18*(C20-C21))," ")</f>
        <v>1.5009382473672585E-2</v>
      </c>
      <c r="D22" s="9">
        <f>IF('Кормовой бюджет'!D21&gt;0,SQRT((D19)^2-4*D18*(D20-D21))," ")</f>
        <v>1.4696708258652793E-2</v>
      </c>
      <c r="E22" s="9">
        <f>IF('Кормовой бюджет'!E21&gt;0,SQRT((E19)^2-4*E18*(E20-E21))," ")</f>
        <v>1.377852064084868E-2</v>
      </c>
      <c r="F22" s="9">
        <f>IF('Кормовой бюджет'!F21&gt;0,SQRT((F19)^2-4*F18*(F20-F21))," ")</f>
        <v>1.1939351017861529E-2</v>
      </c>
      <c r="G22" s="9">
        <f>IF('Кормовой бюджет'!G21&gt;0,SQRT((G19)^2-4*G18*(G20-G21))," ")</f>
        <v>9.8649090049615536E-3</v>
      </c>
      <c r="H22" s="9">
        <f>IF('Кормовой бюджет'!H21&gt;0,SQRT((H19)^2-4*H18*(H20-H21))," ")</f>
        <v>7.2264619117126836E-3</v>
      </c>
      <c r="I22" s="9">
        <f>IF('Кормовой бюджет'!I21&gt;0,SQRT((I19)^2-4*I18*(I20-I21))," ")</f>
        <v>5.1354017716757515E-3</v>
      </c>
      <c r="J22" s="9">
        <f>IF('Кормовой бюджет'!J21&gt;0,SQRT((J19)^2-4*J18*(J20-J21))," ")</f>
        <v>3.934005794253544E-3</v>
      </c>
    </row>
    <row r="23" spans="2:10" x14ac:dyDescent="0.25">
      <c r="B23" s="9" t="s">
        <v>41</v>
      </c>
      <c r="C23" s="9">
        <f>IF('Кормовой бюджет'!C21&gt;0,2*C18,"")</f>
        <v>5.1130800000000002E-5</v>
      </c>
      <c r="D23" s="9">
        <f>IF('Кормовой бюджет'!D21&gt;0,2*D18,"")</f>
        <v>5.1130800000000002E-5</v>
      </c>
      <c r="E23" s="9">
        <f>IF('Кормовой бюджет'!E21&gt;0,2*E18,"")</f>
        <v>5.1130800000000002E-5</v>
      </c>
      <c r="F23" s="9">
        <f>IF('Кормовой бюджет'!F21&gt;0,2*F18,"")</f>
        <v>5.1130800000000002E-5</v>
      </c>
      <c r="G23" s="9">
        <f>IF('Кормовой бюджет'!G21&gt;0,2*G18,"")</f>
        <v>5.1130800000000002E-5</v>
      </c>
      <c r="H23" s="9">
        <f>IF('Кормовой бюджет'!H21&gt;0,2*H18,"")</f>
        <v>5.1130800000000002E-5</v>
      </c>
      <c r="I23" s="9">
        <f>IF('Кормовой бюджет'!I21&gt;0,2*I18,"")</f>
        <v>5.1130800000000002E-5</v>
      </c>
      <c r="J23" s="9">
        <f>IF('Кормовой бюджет'!J21&gt;0,2*J18,"")</f>
        <v>5.1130800000000002E-5</v>
      </c>
    </row>
    <row r="24" spans="2:10" x14ac:dyDescent="0.25">
      <c r="B24" s="9"/>
      <c r="C24" s="54">
        <f>IFERROR((-C19-C22)/C23," ")</f>
        <v>15.420340114518332</v>
      </c>
      <c r="D24" s="52">
        <f t="shared" ref="D24:J24" si="1">IFERROR((-D19-D22)/D23," ")</f>
        <v>21.535523429072231</v>
      </c>
      <c r="E24" s="52">
        <f t="shared" si="1"/>
        <v>39.493146188820027</v>
      </c>
      <c r="F24" s="52">
        <f t="shared" si="1"/>
        <v>75.463043452057661</v>
      </c>
      <c r="G24" s="52">
        <f t="shared" si="1"/>
        <v>116.0343236373858</v>
      </c>
      <c r="H24" s="52">
        <f t="shared" si="1"/>
        <v>167.63623663794257</v>
      </c>
      <c r="I24" s="52">
        <f t="shared" si="1"/>
        <v>208.53252889303994</v>
      </c>
      <c r="J24" s="52">
        <f t="shared" si="1"/>
        <v>232.02905109535652</v>
      </c>
    </row>
  </sheetData>
  <dataValidations count="1">
    <dataValidation errorStyle="warning" allowBlank="1" showInputMessage="1" showErrorMessage="1" error="This calculator is based on data between 11 and 150 kg. It is not recommended to use for body weight outside of this range." sqref="C3:J10" xr:uid="{DB4C0BD6-CD83-4FE0-9AED-DB1BB26D0FF7}"/>
  </dataValidation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E5AFC-2254-4CC3-87C3-9C8B5BD29761}">
  <sheetPr codeName="Sheet8"/>
  <dimension ref="B1:X30"/>
  <sheetViews>
    <sheetView showGridLines="0" topLeftCell="A7" zoomScale="145" zoomScaleNormal="145" workbookViewId="0">
      <selection activeCell="J16" sqref="J16"/>
    </sheetView>
  </sheetViews>
  <sheetFormatPr defaultRowHeight="15" x14ac:dyDescent="0.25"/>
  <cols>
    <col min="2" max="2" width="27.140625" bestFit="1" customWidth="1"/>
    <col min="3" max="3" width="12.7109375" bestFit="1" customWidth="1"/>
    <col min="4" max="4" width="10.85546875" bestFit="1" customWidth="1"/>
    <col min="5" max="5" width="9.5703125" bestFit="1" customWidth="1"/>
    <col min="15" max="15" width="12.7109375" bestFit="1" customWidth="1"/>
  </cols>
  <sheetData>
    <row r="1" spans="2:24" s="7" customFormat="1" ht="121.5" customHeight="1" x14ac:dyDescent="0.25">
      <c r="C1" s="8"/>
      <c r="D1" s="8"/>
      <c r="E1" s="8"/>
      <c r="F1" s="8"/>
      <c r="G1" s="8"/>
    </row>
    <row r="2" spans="2:24" s="7" customFormat="1" ht="17.25" customHeight="1" x14ac:dyDescent="0.25">
      <c r="B2" s="57" t="s">
        <v>33</v>
      </c>
      <c r="C2" s="8"/>
      <c r="D2" s="8"/>
      <c r="E2" s="8"/>
      <c r="F2" s="8"/>
      <c r="G2" s="8"/>
    </row>
    <row r="3" spans="2:24" s="9" customFormat="1" x14ac:dyDescent="0.25">
      <c r="B3" s="5" t="s">
        <v>2</v>
      </c>
      <c r="C3" s="142">
        <f>'Curve-Gilts'!H3</f>
        <v>6.0580105212632942</v>
      </c>
      <c r="D3" s="142">
        <f>IF('Кормовой бюджет'!D21&gt;0,'I-Gilts'!C4,"")</f>
        <v>7.7539418127930801</v>
      </c>
      <c r="E3" s="142">
        <f>IF('Кормовой бюджет'!E21&gt;0,'I-Gilts'!D4,"")</f>
        <v>11.166845727013076</v>
      </c>
      <c r="F3" s="142">
        <f>IF('Кормовой бюджет'!F21&gt;0,'I-Gilts'!E4,"")</f>
        <v>23.670531862824131</v>
      </c>
      <c r="G3" s="142">
        <f>IF('Кормовой бюджет'!G21&gt;0,'I-Gilts'!F4,"")</f>
        <v>43.600783740246122</v>
      </c>
      <c r="H3" s="142">
        <f>IF('Кормовой бюджет'!H21&gt;0,'I-Gilts'!G4,"")</f>
        <v>78.45617812583842</v>
      </c>
      <c r="I3" s="142">
        <f>IF('Кормовой бюджет'!I21&gt;0,'I-Gilts'!H4,"")</f>
        <v>99.421139039989129</v>
      </c>
      <c r="J3" s="142">
        <f>IF('Кормовой бюджет'!J21&gt;0,'I-Gilts'!I4,"")</f>
        <v>115.9815630679752</v>
      </c>
    </row>
    <row r="4" spans="2:24" s="9" customFormat="1" x14ac:dyDescent="0.25">
      <c r="B4" s="5" t="s">
        <v>3</v>
      </c>
      <c r="C4" s="142">
        <f>IF('Кормовой бюджет'!C21&gt;0,VLOOKUP(C16,'Curve-Gilts'!$H$3:$J$185,1),"")</f>
        <v>7.7539418127930801</v>
      </c>
      <c r="D4" s="142">
        <f>IF('Кормовой бюджет'!D21&gt;0,VLOOKUP(D16,'Curve-Gilts'!$H$3:$J$185,1),"")</f>
        <v>11.166845727013076</v>
      </c>
      <c r="E4" s="142">
        <f>IF('Кормовой бюджет'!E21&gt;0,VLOOKUP(E16,'Curve-Gilts'!$H$3:$J$185,1),"")</f>
        <v>23.670531862824131</v>
      </c>
      <c r="F4" s="142">
        <f>IF('Кормовой бюджет'!F21&gt;0,VLOOKUP(F16,'Curve-Gilts'!$H$3:$J$185,1),"")</f>
        <v>43.600783740246122</v>
      </c>
      <c r="G4" s="142">
        <f>IF('Кормовой бюджет'!G21&gt;0,VLOOKUP(G16,'Curve-Gilts'!$H$3:$J$185,1),"")</f>
        <v>78.45617812583842</v>
      </c>
      <c r="H4" s="13">
        <f>IF('Кормовой бюджет'!H21&gt;0,VLOOKUP(H16,'Curve-Gilts'!$H$3:$J$185,1),"")</f>
        <v>99.421139039989129</v>
      </c>
      <c r="I4" s="13">
        <f>IF('Кормовой бюджет'!I21&gt;0,VLOOKUP(I16,'Curve-Gilts'!$H$3:$J$185,1),"")</f>
        <v>115.9815630679752</v>
      </c>
      <c r="J4" s="13">
        <f>IF('Кормовой бюджет'!J21&gt;0,VLOOKUP(J16,'Curve-Gilts'!$H$3:$J$185,1),"")</f>
        <v>115.9815630679752</v>
      </c>
    </row>
    <row r="5" spans="2:24" s="9" customFormat="1" x14ac:dyDescent="0.25">
      <c r="B5" s="5" t="s">
        <v>22</v>
      </c>
      <c r="C5" s="34">
        <f>IFERROR(IF('Кормовой бюджет'!D$21&gt;0,(C7-C6),(C7-C6+'Adj-Gilts'!$I$4))," ")</f>
        <v>2.0187024387874568</v>
      </c>
      <c r="D5" s="34">
        <f>IFERROR(IF('Кормовой бюджет'!E$21&gt;0,(D7-D6),(D7-D6+'Adj-Gilts'!$I$4))," ")</f>
        <v>4.5462878662569253</v>
      </c>
      <c r="E5" s="34">
        <f>IFERROR(IF('Кормовой бюджет'!F$21&gt;0,(E7-E6),(E7-E6+'Adj-Gilts'!$I$4))," ")</f>
        <v>19.627669097708811</v>
      </c>
      <c r="F5" s="34">
        <f>IFERROR(IF('Кормовой бюджет'!G$21&gt;0,(F7-F6),(F7-F6+'Adj-Gilts'!$I$4))," ")</f>
        <v>39.581767361959749</v>
      </c>
      <c r="G5" s="34">
        <f>IFERROR(IF('Кормовой бюджет'!H$21&gt;0,(G7-G6),(G7-G6+'Adj-Gilts'!$I$4))," ")</f>
        <v>85.162546391322124</v>
      </c>
      <c r="H5" s="34">
        <f>IFERROR(IF('Кормовой бюджет'!I$21&gt;0,(H7-H6),(H7-H6+'Adj-Gilts'!$I$4))," ")</f>
        <v>58.401079683094082</v>
      </c>
      <c r="I5" s="34">
        <f>IFERROR(IF('Кормовой бюджет'!J$21&gt;0,(I7-I6),(I7-I6+'Adj-Gilts'!$I$4))," ")</f>
        <v>50.262240663008754</v>
      </c>
      <c r="J5" s="34">
        <f>IFERROR(IF('Кормовой бюджет'!K$21&gt;0,(J7-J6),(J7-J6+'Adj-Gilts'!$I$4))," ")</f>
        <v>0</v>
      </c>
    </row>
    <row r="6" spans="2:24" s="9" customFormat="1" x14ac:dyDescent="0.25">
      <c r="B6" s="5"/>
      <c r="C6" s="34">
        <v>0</v>
      </c>
      <c r="D6" s="34">
        <f>IF('Кормовой бюджет'!D$21&gt;0,VLOOKUP(D3,'Curve-Gilts'!$H$3:$K$185,4),"")</f>
        <v>2.0187024387874568</v>
      </c>
      <c r="E6" s="34">
        <f>IF('Кормовой бюджет'!E$21&gt;0,VLOOKUP(E3,'Curve-Gilts'!$H$3:$K$185,4),"")</f>
        <v>6.5649903050443816</v>
      </c>
      <c r="F6" s="34">
        <f>IF('Кормовой бюджет'!F$21&gt;0,VLOOKUP(F3,'Curve-Gilts'!$H$3:$K$185,4),"")</f>
        <v>26.192659402753193</v>
      </c>
      <c r="G6" s="34">
        <f>IF('Кормовой бюджет'!G$21&gt;0,VLOOKUP(G3,'Curve-Gilts'!$H$3:$K$185,4),"")</f>
        <v>65.774426764712942</v>
      </c>
      <c r="H6" s="34">
        <f>IF('Кормовой бюджет'!H$21&gt;0,VLOOKUP(H3,'Curve-Gilts'!$H$3:$K$185,4),"")</f>
        <v>150.93697315603507</v>
      </c>
      <c r="I6" s="34">
        <f>IF('Кормовой бюджет'!I$21&gt;0,VLOOKUP(I3,'Curve-Gilts'!$H$3:$K$185,4),"")</f>
        <v>209.33805283912915</v>
      </c>
      <c r="J6" s="34">
        <f>IF('Кормовой бюджет'!J$21&gt;0,VLOOKUP(J3,'Curve-Gilts'!$H$3:$K$185,4),"")</f>
        <v>259.6002935021379</v>
      </c>
    </row>
    <row r="7" spans="2:24" s="9" customFormat="1" x14ac:dyDescent="0.25">
      <c r="B7" s="5"/>
      <c r="C7" s="34">
        <f>IF('Кормовой бюджет'!C$21&gt;0,VLOOKUP(C4,'Curve-Gilts'!$H$3:$K$185,4),"")</f>
        <v>2.0187024387874568</v>
      </c>
      <c r="D7" s="34">
        <f>IF('Кормовой бюджет'!D$21&gt;0,VLOOKUP(D4,'Curve-Gilts'!$H$3:$K$185,4),"")</f>
        <v>6.5649903050443816</v>
      </c>
      <c r="E7" s="34">
        <f>IF('Кормовой бюджет'!E$21&gt;0,VLOOKUP(E4,'Curve-Gilts'!$H$3:$K$185,4),"")</f>
        <v>26.192659402753193</v>
      </c>
      <c r="F7" s="34">
        <f>IF('Кормовой бюджет'!F$21&gt;0,VLOOKUP(F4,'Curve-Gilts'!$H$3:$K$185,4),"")</f>
        <v>65.774426764712942</v>
      </c>
      <c r="G7" s="34">
        <f>IF('Кормовой бюджет'!G$21&gt;0,VLOOKUP(G4,'Curve-Gilts'!$H$3:$K$185,4),"")</f>
        <v>150.93697315603507</v>
      </c>
      <c r="H7" s="34">
        <f>IF('Кормовой бюджет'!H$21&gt;0,VLOOKUP(H16,'Curve-Gilts'!$H$3:$K$185,4),"")</f>
        <v>209.33805283912915</v>
      </c>
      <c r="I7" s="34">
        <f>IF('Кормовой бюджет'!I$21&gt;0,VLOOKUP(I16,'Curve-Gilts'!$H$3:$K$185,4),"")</f>
        <v>259.6002935021379</v>
      </c>
      <c r="J7" s="34">
        <f>IF('Кормовой бюджет'!J$21&gt;0,VLOOKUP(J16,'Curve-Gilts'!$H$3:$K$185,4),"")</f>
        <v>259.6002935021379</v>
      </c>
      <c r="M7" s="32"/>
    </row>
    <row r="8" spans="2:24" s="9" customFormat="1" x14ac:dyDescent="0.25">
      <c r="B8" s="5" t="s">
        <v>18</v>
      </c>
      <c r="C8" s="11">
        <f>IFERROR(IF('Кормовой бюджет'!C$21&gt;0,(C10-C9),(C10-C9+1)),"")</f>
        <v>9</v>
      </c>
      <c r="D8" s="11">
        <f>IFERROR(IF('Кормовой бюджет'!E$21&gt;0,(D10-D9),(D10-D9+1)),"")</f>
        <v>9</v>
      </c>
      <c r="E8" s="11">
        <f>IFERROR(IF('Кормовой бюджет'!F$21&gt;0,(E10-E9),(E10-E9+1)),"")</f>
        <v>21</v>
      </c>
      <c r="F8" s="11">
        <f>IFERROR(IF('Кормовой бюджет'!G$21&gt;0,(F10-F9),(F10-F9+1)),"")</f>
        <v>24</v>
      </c>
      <c r="G8" s="11">
        <f>IFERROR(IF('Кормовой бюджет'!H$21&gt;0,(G10-G9),(G10-G9+1)),"")</f>
        <v>35</v>
      </c>
      <c r="H8" s="11">
        <f>IFERROR(IF('Кормовой бюджет'!I$21&gt;0,(H10-H9),(H10-H9+1)),"")</f>
        <v>20</v>
      </c>
      <c r="I8" s="11">
        <f>IFERROR(IF('Кормовой бюджет'!J$21&gt;0,(I10-I9),(I10-I9+1)),"")</f>
        <v>16</v>
      </c>
      <c r="J8" s="11">
        <f>IFERROR(IF('Кормовой бюджет'!K$21&gt;0,(J10-J9),(J10-J9+1)),"")</f>
        <v>1</v>
      </c>
      <c r="M8" s="32"/>
    </row>
    <row r="9" spans="2:24" s="9" customFormat="1" x14ac:dyDescent="0.25">
      <c r="B9" s="5"/>
      <c r="C9" s="11">
        <f>IF('Кормовой бюджет'!C21&gt;0,VLOOKUP(C3,'Curve-Gilts'!$H$3:$K$185,2),"")</f>
        <v>21</v>
      </c>
      <c r="D9" s="11">
        <f>IF('Кормовой бюджет'!D21&gt;0,VLOOKUP(D3*1.01,'Curve-Gilts'!$H$3:$K$185,2),"")</f>
        <v>30</v>
      </c>
      <c r="E9" s="11">
        <f>IF('Кормовой бюджет'!E21&gt;0,VLOOKUP(E3*1.01,'Curve-Gilts'!$H$3:$K$185,2),"")</f>
        <v>39</v>
      </c>
      <c r="F9" s="11">
        <f>IF('Кормовой бюджет'!F21&gt;0,VLOOKUP(F3*1.01,'Curve-Gilts'!$H$3:$K$185,2),"")</f>
        <v>60</v>
      </c>
      <c r="G9" s="11">
        <f>IF('Кормовой бюджет'!G21&gt;0,VLOOKUP(G3*1.01,'Curve-Gilts'!$H$3:$K$185,2),"")</f>
        <v>84</v>
      </c>
      <c r="H9" s="11">
        <f>IF('Кормовой бюджет'!H21&gt;0,VLOOKUP(H3*1.01,'Curve-Gilts'!$H$3:$K$185,2),"")</f>
        <v>119</v>
      </c>
      <c r="I9" s="11">
        <f>IF('Кормовой бюджет'!I21&gt;0,VLOOKUP(I3*1.01,'Curve-Gilts'!$H$3:$K$185,2),"")</f>
        <v>139</v>
      </c>
      <c r="J9" s="11">
        <f>IF('Кормовой бюджет'!J21&gt;0,VLOOKUP(J3*1.01,'Curve-Gilts'!$H$3:$K$185,2),"")</f>
        <v>155</v>
      </c>
    </row>
    <row r="10" spans="2:24" s="9" customFormat="1" x14ac:dyDescent="0.25">
      <c r="B10" s="5"/>
      <c r="C10" s="11">
        <f>IF('Кормовой бюджет'!C21&gt;0,VLOOKUP(C4,'Curve-Gilts'!$H$3:$K$185,2),"")</f>
        <v>30</v>
      </c>
      <c r="D10" s="11">
        <f>IF('Кормовой бюджет'!D21&gt;0,VLOOKUP(D4,'Curve-Gilts'!$H$3:$K$185,2),"")</f>
        <v>39</v>
      </c>
      <c r="E10" s="11">
        <f>IF('Кормовой бюджет'!E21&gt;0,VLOOKUP(E4,'Curve-Gilts'!$H$3:$K$185,2),"")</f>
        <v>60</v>
      </c>
      <c r="F10" s="11">
        <f>IF('Кормовой бюджет'!F21&gt;0,VLOOKUP(F4,'Curve-Gilts'!$H$3:$K$185,2),"")</f>
        <v>84</v>
      </c>
      <c r="G10" s="11">
        <f>IF('Кормовой бюджет'!G21&gt;0,VLOOKUP(G4,'Curve-Gilts'!$H$3:$K$185,2),"")</f>
        <v>119</v>
      </c>
      <c r="H10" s="11">
        <f>IF('Кормовой бюджет'!H21&gt;0,VLOOKUP(H4,'Curve-Gilts'!$H$3:$K$185,2),"")</f>
        <v>139</v>
      </c>
      <c r="I10" s="11">
        <f>IF('Кормовой бюджет'!I21&gt;0,VLOOKUP(I4,'Curve-Gilts'!$H$3:$K$185,2),"")</f>
        <v>155</v>
      </c>
      <c r="J10" s="11">
        <f>IF('Кормовой бюджет'!J21&gt;0,VLOOKUP(J4,'Curve-Gilts'!$H$3:$K$185,2),"")</f>
        <v>155</v>
      </c>
    </row>
    <row r="11" spans="2:24" s="9" customFormat="1" x14ac:dyDescent="0.25">
      <c r="B11" s="9" t="s">
        <v>4</v>
      </c>
      <c r="C11" s="142">
        <f>IF('Кормовой бюджет'!C21&gt;0,CONVERT(C15*1000,"g","lbm")," ")</f>
        <v>13.355627038574953</v>
      </c>
      <c r="D11" s="11">
        <f>IF('Кормовой бюджет'!D21&gt;0,CONVERT(D15*1000,"g","lbm")," ")</f>
        <v>17.485053190461713</v>
      </c>
      <c r="E11" s="11">
        <f>IF('Кормовой бюджет'!E21&gt;0,CONVERT(E15*1000,"g","lbm")," ")</f>
        <v>25.585993667682747</v>
      </c>
      <c r="F11" s="11">
        <f>IF('Кормовой бюджет'!F21&gt;0,CONVERT(F15*1000,"g","lbm")," ")</f>
        <v>53.400298709957319</v>
      </c>
      <c r="G11" s="11">
        <f>IF('Кормовой бюджет'!G21&gt;0,CONVERT(G15*1000,"g","lbm")," ")</f>
        <v>97.525788194158011</v>
      </c>
      <c r="H11" s="11">
        <f>IF('Кормовой бюджет'!H21&gt;0,CONVERT(H15*1000,"g","lbm")," ")</f>
        <v>174.16753176690676</v>
      </c>
      <c r="I11" s="11">
        <f>IF('Кормовой бюджет'!I21&gt;0,CONVERT(I15*1000,"g","lbm")," ")</f>
        <v>220.70998453913703</v>
      </c>
      <c r="J11" s="11">
        <f>IF('Кормовой бюджет'!J21&gt;0,CONVERT(J15*1000,"g","lbm")," ")</f>
        <v>270.67603131575908</v>
      </c>
    </row>
    <row r="12" spans="2:24" s="9" customFormat="1" x14ac:dyDescent="0.25">
      <c r="B12" s="9" t="s">
        <v>5</v>
      </c>
      <c r="C12" s="13">
        <f>IF('Кормовой бюджет'!C21&gt;0,CONVERT(C16*1000,"g","lbm")," ")</f>
        <v>17.485053190461713</v>
      </c>
      <c r="D12" s="11">
        <f>IF('Кормовой бюджет'!D21&gt;0,CONVERT(D16*1000,"g","lbm")," ")</f>
        <v>25.585993667682747</v>
      </c>
      <c r="E12" s="11">
        <f>IF('Кормовой бюджет'!E21&gt;0,CONVERT(E16*1000,"g","lbm")," ")</f>
        <v>53.400298709957319</v>
      </c>
      <c r="F12" s="11">
        <f>IF('Кормовой бюджет'!F21&gt;0,CONVERT(F16*1000,"g","lbm")," ")</f>
        <v>97.525788194158011</v>
      </c>
      <c r="G12" s="11">
        <f>IF('Кормовой бюджет'!G21&gt;0,CONVERT(G16*1000,"g","lbm")," ")</f>
        <v>174.16753176690676</v>
      </c>
      <c r="H12" s="11">
        <f>IF('Кормовой бюджет'!H21&gt;0,CONVERT(H16*1000,"g","lbm")," ")</f>
        <v>220.70998453913703</v>
      </c>
      <c r="I12" s="11">
        <f>IF('Кормовой бюджет'!I21&gt;0,CONVERT(I16*1000,"g","lbm")," ")</f>
        <v>270.67603131575908</v>
      </c>
      <c r="J12" s="11">
        <f>IF('Кормовой бюджет'!J21&gt;0,CONVERT(J16*1000,"g","lbm")," ")</f>
        <v>255.69557765703863</v>
      </c>
    </row>
    <row r="13" spans="2:24" s="9" customFormat="1" x14ac:dyDescent="0.25">
      <c r="C13" s="85">
        <f>IFERROR(IF(C11&gt;0,AVERAGE(C11:C12)," "),"")</f>
        <v>15.420340114518332</v>
      </c>
      <c r="D13" s="53">
        <f t="shared" ref="D13:J13" si="0">IFERROR(IF(D11&gt;0,AVERAGE(D11:D12)," "),"")</f>
        <v>21.535523429072228</v>
      </c>
      <c r="E13" s="53">
        <f t="shared" si="0"/>
        <v>39.493146188820035</v>
      </c>
      <c r="F13" s="53">
        <f t="shared" si="0"/>
        <v>75.463043452057661</v>
      </c>
      <c r="G13" s="53">
        <f t="shared" si="0"/>
        <v>135.84665998053239</v>
      </c>
      <c r="H13" s="53">
        <f t="shared" si="0"/>
        <v>197.43875815302189</v>
      </c>
      <c r="I13" s="53">
        <f t="shared" si="0"/>
        <v>245.69300792744804</v>
      </c>
      <c r="J13" s="53">
        <f t="shared" si="0"/>
        <v>263.18580448639887</v>
      </c>
    </row>
    <row r="14" spans="2:24" s="9" customFormat="1" x14ac:dyDescent="0.25">
      <c r="C14" s="12"/>
      <c r="D14" s="12"/>
      <c r="E14" s="12"/>
      <c r="F14" s="12"/>
      <c r="G14" s="12"/>
      <c r="H14" s="10"/>
      <c r="W14" s="41"/>
      <c r="X14" s="41"/>
    </row>
    <row r="15" spans="2:24" s="9" customFormat="1" x14ac:dyDescent="0.25">
      <c r="B15" s="9" t="s">
        <v>2</v>
      </c>
      <c r="C15" s="140">
        <f>'Curve-Gilts'!H3</f>
        <v>6.0580105212632942</v>
      </c>
      <c r="D15" s="140">
        <f>IF('Кормовой бюджет'!D23&gt;0,C16,"")</f>
        <v>7.9310867162375898</v>
      </c>
      <c r="E15" s="140">
        <f>IF('Кормовой бюджет'!E23&gt;0,D16,"")</f>
        <v>11.605611506529211</v>
      </c>
      <c r="F15" s="140">
        <f>IF('Кормовой бюджет'!F23&gt;0,E16,"")</f>
        <v>24.221968050557482</v>
      </c>
      <c r="G15" s="140">
        <f>IF('Кормовой бюджет'!G23&gt;0,F16,"")</f>
        <v>44.236953403106156</v>
      </c>
      <c r="H15" s="125">
        <f>IF('Кормовой бюджет'!H23&gt;0,G16,"")</f>
        <v>79.001063511201536</v>
      </c>
      <c r="I15" s="125">
        <f>IF('Кормовой бюджет'!I23&gt;0,H16,"")</f>
        <v>100.11236496977052</v>
      </c>
      <c r="J15" s="125">
        <f>IF('Кормовой бюджет'!J23&gt;0,I16,"")</f>
        <v>122.77658254670938</v>
      </c>
    </row>
    <row r="16" spans="2:24" s="9" customFormat="1" x14ac:dyDescent="0.25">
      <c r="B16" s="9" t="s">
        <v>3</v>
      </c>
      <c r="C16" s="140">
        <f>IF(IF('Кормовой бюджет'!D21&gt;0,(2*(CONVERT(C24,"lbm","kg"))-C15),MAX('I-Mixed'!C10:J10))&gt;0,IF('Кормовой бюджет'!D21&gt;0,(2*(CONVERT(C24,"lbm","kg"))-C15),MAX('Curve-Gilts'!$H$3:$H$185)),"")</f>
        <v>7.9310867162375898</v>
      </c>
      <c r="D16" s="140">
        <f>IF(IF('Кормовой бюджет'!E21&gt;0,(2*(CONVERT(D24,"lbm","kg"))-D15),MAX('I-Mixed'!D10:K10))&gt;0,IF('Кормовой бюджет'!E21&gt;0,(2*(CONVERT(D24,"lbm","kg"))-D15),MAX('Curve-Gilts'!$H$3:$H$185)),"")</f>
        <v>11.605611506529211</v>
      </c>
      <c r="E16" s="140">
        <f>IF(IF('Кормовой бюджет'!F21&gt;0,(2*(CONVERT(E24,"lbm","kg"))-E15),MAX('I-Mixed'!E10:L10))&gt;0,IF('Кормовой бюджет'!F21&gt;0,(2*(CONVERT(E24,"lbm","kg"))-E15),MAX('Curve-Gilts'!$H$3:$H$185)),"")</f>
        <v>24.221968050557482</v>
      </c>
      <c r="F16" s="140">
        <f>IF(IF('Кормовой бюджет'!G21&gt;0,(2*(CONVERT(F24,"lbm","kg"))-F15),MAX('I-Mixed'!F10:M10))&gt;0,IF('Кормовой бюджет'!G21&gt;0,(2*(CONVERT(F24,"lbm","kg"))-F15),MAX('Curve-Gilts'!$H$3:$H$185)),"")</f>
        <v>44.236953403106156</v>
      </c>
      <c r="G16" s="140">
        <f>IF(IF('Кормовой бюджет'!H21&gt;0,(2*(CONVERT(G24,"lbm","kg"))-G15),MAX('I-Mixed'!G10:N10))&gt;0,IF('Кормовой бюджет'!H21&gt;0,(2*(CONVERT(G24,"lbm","kg"))-G15),MAX('Curve-Gilts'!$H$3:$H$185)),"")</f>
        <v>79.001063511201536</v>
      </c>
      <c r="H16" s="125">
        <f>IF(IF('Кормовой бюджет'!I21&gt;0,(2*(CONVERT(H24,"lbm","kg"))-H15),MAX('I-Mixed'!H10:O10))&gt;0,IF('Кормовой бюджет'!I21&gt;0,(2*(CONVERT(H24,"lbm","kg"))-H15),MAX('Curve-Gilts'!$H$3:$H$185)),"")</f>
        <v>100.11236496977052</v>
      </c>
      <c r="I16" s="125">
        <f>IF(IF('Кормовой бюджет'!J21&gt;0,(2*(CONVERT(I24,"lbm","kg"))-I15),MAX('I-Mixed'!I10:P10))&gt;0,IF('Кормовой бюджет'!J21&gt;0,(2*(CONVERT(I24,"lbm","kg"))-I15),MAX('Curve-Gilts'!$H$3:$H$185)),"")</f>
        <v>122.77658254670938</v>
      </c>
      <c r="J16" s="125">
        <f>IF(IF('Кормовой бюджет'!K21&gt;0,(2*(CONVERT(J24,"lbm","kg"))-J15),MAX('I-Mixed'!J10:Q10))&gt;0,IF('Кормовой бюджет'!K21&gt;0,(2*(CONVERT(J24,"lbm","kg"))-J15),MAX('Curve-Gilts'!$H$3:$H$185)),"")</f>
        <v>115.9815630679752</v>
      </c>
    </row>
    <row r="17" spans="2:13" s="9" customFormat="1" x14ac:dyDescent="0.25"/>
    <row r="18" spans="2:13" s="9" customFormat="1" x14ac:dyDescent="0.25">
      <c r="B18" s="9" t="s">
        <v>36</v>
      </c>
      <c r="C18" s="51">
        <f>IF('Кормовой бюджет'!C21&gt;0,0.0000255654,"")</f>
        <v>2.5565400000000001E-5</v>
      </c>
      <c r="D18" s="51">
        <f>IF('Кормовой бюджет'!D21&gt;0,0.0000255654,"")</f>
        <v>2.5565400000000001E-5</v>
      </c>
      <c r="E18" s="51">
        <f>IF('Кормовой бюджет'!E21&gt;0,0.0000255654,"")</f>
        <v>2.5565400000000001E-5</v>
      </c>
      <c r="F18" s="51">
        <f>IF('Кормовой бюджет'!F21&gt;0,0.0000255654,"")</f>
        <v>2.5565400000000001E-5</v>
      </c>
      <c r="G18" s="51">
        <f>IF('Кормовой бюджет'!G21&gt;0,0.0000255654,"")</f>
        <v>2.5565400000000001E-5</v>
      </c>
      <c r="H18" s="51">
        <f>IF('Кормовой бюджет'!H21&gt;0,0.0000255654,"")</f>
        <v>2.5565400000000001E-5</v>
      </c>
      <c r="I18" s="51">
        <f>IF('Кормовой бюджет'!I21&gt;0,0.0000255654,"")</f>
        <v>2.5565400000000001E-5</v>
      </c>
      <c r="J18" s="51">
        <f>IF('Кормовой бюджет'!J21&gt;0,0.0000255654,"")</f>
        <v>2.5565400000000001E-5</v>
      </c>
      <c r="M18" s="32"/>
    </row>
    <row r="19" spans="2:13" x14ac:dyDescent="0.25">
      <c r="B19" s="9" t="s">
        <v>37</v>
      </c>
      <c r="C19" s="51">
        <f>IF('Кормовой бюджет'!C21&gt;0,-0.0157978368,"")</f>
        <v>-1.5797836799999999E-2</v>
      </c>
      <c r="D19" s="51">
        <f>IF('Кормовой бюджет'!D21&gt;0,-0.0157978368,"")</f>
        <v>-1.5797836799999999E-2</v>
      </c>
      <c r="E19" s="51">
        <f>IF('Кормовой бюджет'!E21&gt;0,-0.0157978368,"")</f>
        <v>-1.5797836799999999E-2</v>
      </c>
      <c r="F19" s="51">
        <f>IF('Кормовой бюджет'!F21&gt;0,-0.0157978368,"")</f>
        <v>-1.5797836799999999E-2</v>
      </c>
      <c r="G19" s="51">
        <f>IF('Кормовой бюджет'!G21&gt;0,-0.0157978368,"")</f>
        <v>-1.5797836799999999E-2</v>
      </c>
      <c r="H19" s="51">
        <f>IF('Кормовой бюджет'!H21&gt;0,-0.0157978368,"")</f>
        <v>-1.5797836799999999E-2</v>
      </c>
      <c r="I19" s="51">
        <f>IF('Кормовой бюджет'!I21&gt;0,-0.0157978368,"")</f>
        <v>-1.5797836799999999E-2</v>
      </c>
      <c r="J19" s="51">
        <f>IF('Кормовой бюджет'!J21&gt;0,-0.0157978368,"")</f>
        <v>-1.5797836799999999E-2</v>
      </c>
    </row>
    <row r="20" spans="2:13" x14ac:dyDescent="0.25">
      <c r="B20" s="9" t="s">
        <v>38</v>
      </c>
      <c r="C20" s="51">
        <f>IF('Кормовой бюджет'!C21&gt;0,4.4555073859,"")</f>
        <v>4.4555073858999998</v>
      </c>
      <c r="D20" s="51">
        <f>IF('Кормовой бюджет'!D21&gt;0,4.4555073859,"")</f>
        <v>4.4555073858999998</v>
      </c>
      <c r="E20" s="51">
        <f>IF('Кормовой бюджет'!E21&gt;0,4.4555073859,"")</f>
        <v>4.4555073858999998</v>
      </c>
      <c r="F20" s="51">
        <f>IF('Кормовой бюджет'!F21&gt;0,4.4555073859,"")</f>
        <v>4.4555073858999998</v>
      </c>
      <c r="G20" s="51">
        <f>IF('Кормовой бюджет'!G21&gt;0,4.4555073859,"")</f>
        <v>4.4555073858999998</v>
      </c>
      <c r="H20" s="51">
        <f>IF('Кормовой бюджет'!H21&gt;0,4.4555073859,"")</f>
        <v>4.4555073858999998</v>
      </c>
      <c r="I20" s="51">
        <f>IF('Кормовой бюджет'!I21&gt;0,4.4555073859,"")</f>
        <v>4.4555073858999998</v>
      </c>
      <c r="J20" s="51">
        <f>IF('Кормовой бюджет'!J21&gt;0,4.4555073859,"")</f>
        <v>4.4555073858999998</v>
      </c>
    </row>
    <row r="21" spans="2:13" x14ac:dyDescent="0.25">
      <c r="B21" s="9" t="s">
        <v>39</v>
      </c>
      <c r="C21" s="54">
        <f>IF('Кормовой бюджет'!C21&gt;0,'I-Mixed'!C27," ")</f>
        <v>4.217978486308712</v>
      </c>
      <c r="D21" s="54">
        <f>IF('Кормовой бюджет'!D21&gt;0,'I-Mixed'!D27," ")</f>
        <v>4.1271493911152417</v>
      </c>
      <c r="E21" s="54">
        <f>IF('Кормовой бюджет'!E21&gt;0,'I-Mixed'!E27," ")</f>
        <v>3.8714756818278842</v>
      </c>
      <c r="F21" s="54">
        <f>IF('Кормовой бюджет'!F21&gt;0,'I-Mixed'!F27," ")</f>
        <v>3.4089410811314154</v>
      </c>
      <c r="G21" s="54">
        <f>IF('Кормовой бюджет'!G21&gt;0,'I-Mixed'!G27," ")</f>
        <v>2.7812159671158732</v>
      </c>
      <c r="H21" s="54">
        <f>IF('Кормовой бюджет'!H21&gt;0,'I-Mixed'!H27," ")</f>
        <v>2.3329941456742351</v>
      </c>
      <c r="I21" s="54">
        <f>IF('Кормовой бюджет'!I21&gt;0,'I-Mixed'!I27," ")</f>
        <v>2.1173460989852604</v>
      </c>
      <c r="J21" s="54">
        <f>IF('Кормовой бюджет'!J21&gt;0,'I-Mixed'!J27," ")</f>
        <v>2.0266367252925752</v>
      </c>
    </row>
    <row r="22" spans="2:13" x14ac:dyDescent="0.25">
      <c r="B22" s="9" t="s">
        <v>40</v>
      </c>
      <c r="C22" s="51">
        <f>IF('Кормовой бюджет'!C21&gt;0,SQRT((C19)^2-4*C18*(C20-C21))," ")</f>
        <v>1.5009382473672585E-2</v>
      </c>
      <c r="D22" s="51">
        <f>IF('Кормовой бюджет'!D21&gt;0,SQRT((D19)^2-4*D18*(D20-D21))," ")</f>
        <v>1.4696708258652793E-2</v>
      </c>
      <c r="E22" s="51">
        <f>IF('Кормовой бюджет'!E21&gt;0,SQRT((E19)^2-4*E18*(E20-E21))," ")</f>
        <v>1.377852064084868E-2</v>
      </c>
      <c r="F22" s="51">
        <f>IF('Кормовой бюджет'!F21&gt;0,SQRT((F19)^2-4*F18*(F20-F21))," ")</f>
        <v>1.1939351017861529E-2</v>
      </c>
      <c r="G22" s="51">
        <f>IF('Кормовой бюджет'!G21&gt;0,SQRT((G19)^2-4*G18*(G20-G21))," ")</f>
        <v>8.851888397867394E-3</v>
      </c>
      <c r="H22" s="51">
        <f>IF('Кормовой бюджет'!H21&gt;0,SQRT((H19)^2-4*H18*(H20-H21))," ")</f>
        <v>5.7026351446294666E-3</v>
      </c>
      <c r="I22" s="51">
        <f>IF('Кормовой бюджет'!I21&gt;0,SQRT((I19)^2-4*I18*(I20-I21))," ")</f>
        <v>3.2353567502632378E-3</v>
      </c>
      <c r="J22" s="51">
        <f>IF('Кормовой бюджет'!J21&gt;0,SQRT((J19)^2-4*J18*(J20-J21)),"")</f>
        <v>1.0915345219744505E-3</v>
      </c>
    </row>
    <row r="23" spans="2:13" x14ac:dyDescent="0.25">
      <c r="B23" s="9" t="s">
        <v>41</v>
      </c>
      <c r="C23" s="51">
        <f>IF('Кормовой бюджет'!C21&gt;0,2*C18,"")</f>
        <v>5.1130800000000002E-5</v>
      </c>
      <c r="D23" s="51">
        <f>IF('Кормовой бюджет'!D21&gt;0,2*D18,"")</f>
        <v>5.1130800000000002E-5</v>
      </c>
      <c r="E23" s="51">
        <f>IF('Кормовой бюджет'!E21&gt;0,2*E18,"")</f>
        <v>5.1130800000000002E-5</v>
      </c>
      <c r="F23" s="51">
        <f>IF('Кормовой бюджет'!F21&gt;0,2*F18,"")</f>
        <v>5.1130800000000002E-5</v>
      </c>
      <c r="G23" s="51">
        <f>IF('Кормовой бюджет'!G21&gt;0,2*G18,"")</f>
        <v>5.1130800000000002E-5</v>
      </c>
      <c r="H23" s="51">
        <f>IF('Кормовой бюджет'!H21&gt;0,2*H18,"")</f>
        <v>5.1130800000000002E-5</v>
      </c>
      <c r="I23" s="51">
        <f>IF('Кормовой бюджет'!I21&gt;0,2*I18,"")</f>
        <v>5.1130800000000002E-5</v>
      </c>
      <c r="J23" s="51">
        <f>IF('Кормовой бюджет'!J21&gt;0,2*J18,"")</f>
        <v>5.1130800000000002E-5</v>
      </c>
    </row>
    <row r="24" spans="2:13" x14ac:dyDescent="0.25">
      <c r="B24" s="9"/>
      <c r="C24" s="54">
        <f>IFERROR((-C19-C22)/C23," ")</f>
        <v>15.420340114518332</v>
      </c>
      <c r="D24" s="52">
        <f t="shared" ref="D24:H24" si="1">IFERROR((-D19-D22)/D23," ")</f>
        <v>21.535523429072231</v>
      </c>
      <c r="E24" s="52">
        <f t="shared" si="1"/>
        <v>39.493146188820027</v>
      </c>
      <c r="F24" s="52">
        <f t="shared" si="1"/>
        <v>75.463043452057661</v>
      </c>
      <c r="G24" s="52">
        <f t="shared" si="1"/>
        <v>135.84665998053239</v>
      </c>
      <c r="H24" s="52">
        <f t="shared" si="1"/>
        <v>197.43875815302192</v>
      </c>
      <c r="I24" s="52">
        <f>IFERROR((-I19-I22)/I23," ")</f>
        <v>245.69300792744804</v>
      </c>
      <c r="J24" s="52">
        <f>IFERROR((-J19-J22)/J23," ")</f>
        <v>287.62120440176074</v>
      </c>
    </row>
    <row r="27" spans="2:13" x14ac:dyDescent="0.25">
      <c r="D27" t="s">
        <v>97</v>
      </c>
      <c r="E27" s="154" t="s">
        <v>98</v>
      </c>
      <c r="F27" s="155" t="s">
        <v>99</v>
      </c>
    </row>
    <row r="28" spans="2:13" x14ac:dyDescent="0.25">
      <c r="F28">
        <v>2</v>
      </c>
    </row>
    <row r="29" spans="2:13" x14ac:dyDescent="0.25">
      <c r="D29">
        <f>13.998</f>
        <v>13.997999999999999</v>
      </c>
      <c r="F29">
        <v>5.9539999999999997</v>
      </c>
    </row>
    <row r="30" spans="2:13" x14ac:dyDescent="0.25">
      <c r="C30" s="46"/>
    </row>
  </sheetData>
  <dataValidations count="1">
    <dataValidation errorStyle="warning" allowBlank="1" showInputMessage="1" showErrorMessage="1" error="This calculator is based on data between 11 and 150 kg. It is not recommended to use for body weight outside of this range." sqref="C3:J10" xr:uid="{2E563B17-CBD6-45E6-9E31-FE784F77F710}"/>
  </dataValidation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66823-94B3-4FA9-9276-D2CB042067EB}">
  <sheetPr codeName="Sheet9"/>
  <dimension ref="A1:M41"/>
  <sheetViews>
    <sheetView showGridLines="0" zoomScaleNormal="100" workbookViewId="0">
      <selection activeCell="B6" sqref="B6"/>
    </sheetView>
  </sheetViews>
  <sheetFormatPr defaultRowHeight="15" x14ac:dyDescent="0.25"/>
  <cols>
    <col min="1" max="1" width="33.7109375" bestFit="1" customWidth="1"/>
    <col min="2" max="2" width="9.5703125" bestFit="1" customWidth="1"/>
    <col min="3" max="3" width="11.140625" customWidth="1"/>
    <col min="4" max="4" width="12" bestFit="1" customWidth="1"/>
    <col min="6" max="6" width="31.5703125" bestFit="1" customWidth="1"/>
    <col min="10" max="10" width="12.140625" bestFit="1" customWidth="1"/>
  </cols>
  <sheetData>
    <row r="1" spans="1:13" x14ac:dyDescent="0.25">
      <c r="A1" s="18" t="s">
        <v>18</v>
      </c>
      <c r="B1" s="26">
        <f>(MAX('I-Mixed'!C10:J10)-MIN('I-Mixed'!C9:J9))/('I-Mixed'!C3/1000)</f>
        <v>134.11764705882354</v>
      </c>
    </row>
    <row r="2" spans="1:13" x14ac:dyDescent="0.25">
      <c r="A2" t="s">
        <v>19</v>
      </c>
      <c r="B2" s="26">
        <f>'I-Mixed'!C5</f>
        <v>21</v>
      </c>
    </row>
    <row r="3" spans="1:13" x14ac:dyDescent="0.25">
      <c r="B3" s="24"/>
    </row>
    <row r="4" spans="1:13" x14ac:dyDescent="0.25">
      <c r="H4" t="s">
        <v>27</v>
      </c>
      <c r="I4" s="2">
        <f>(((MAX('I-Mixed'!C10:J10))-MIN('I-Mixed'!C9:J9))*'I-Mixed'!C4)-B9</f>
        <v>0.53462372248463907</v>
      </c>
      <c r="J4" t="s">
        <v>87</v>
      </c>
      <c r="K4" s="2">
        <f>(MAX('I-Mixed'!C10:J10)-AVERAGE(MAX('Curve-Gilts'!H3:H185),MAX('Curve-Barrows'!H3:H185)))/2</f>
        <v>4.9861125176093424E-2</v>
      </c>
      <c r="L4" t="s">
        <v>88</v>
      </c>
    </row>
    <row r="5" spans="1:13" x14ac:dyDescent="0.25">
      <c r="A5" s="236" t="s">
        <v>1</v>
      </c>
      <c r="B5" s="236"/>
      <c r="C5" s="24" t="s">
        <v>26</v>
      </c>
      <c r="D5" s="236">
        <f>'E-Mixed'!A1</f>
        <v>337</v>
      </c>
      <c r="E5" s="236"/>
      <c r="I5" s="1"/>
    </row>
    <row r="6" spans="1:13" x14ac:dyDescent="0.25">
      <c r="A6" s="127" t="s">
        <v>24</v>
      </c>
      <c r="B6" s="26">
        <f>(MAX('Curve-Mixed'!H3:H185)-MIN('Curve-Mixed'!H3:H185))/(MAX('Curve-Mixed'!I3:I185)-MIN('Curve-Mixed'!I3:I185))*1000</f>
        <v>850.00000000000034</v>
      </c>
      <c r="C6" s="130">
        <f>'I-Mixed'!C3/E6</f>
        <v>1.1023844080428413</v>
      </c>
      <c r="D6" s="127" t="s">
        <v>24</v>
      </c>
      <c r="E6" s="26">
        <f>(MAX('Curve-Mixed'!A3:A185)-MIN('Curve-Mixed'!A3:A185))/(MAX('Curve-Mixed'!B3:B185)-MIN('Curve-Mixed'!B3:B185))*1000</f>
        <v>771.05589828604229</v>
      </c>
      <c r="H6" t="s">
        <v>52</v>
      </c>
      <c r="I6" s="3">
        <f>SUM('Кормовой бюджет'!C35:J35)</f>
        <v>135</v>
      </c>
      <c r="K6" s="2"/>
      <c r="L6" s="2"/>
      <c r="M6" s="2"/>
    </row>
    <row r="7" spans="1:13" x14ac:dyDescent="0.25">
      <c r="A7" s="128" t="s">
        <v>0</v>
      </c>
      <c r="B7" s="27">
        <f>1/(MAX('Curve-Mixed'!K3:K185)/(MAX('Curve-Mixed'!H3:H185)-MIN('Curve-Mixed'!H3:H185)))</f>
        <v>0.41195668839163385</v>
      </c>
      <c r="C7" s="130">
        <f>(1/'I-Mixed'!C4)/E7</f>
        <v>0.88780965782994992</v>
      </c>
      <c r="D7" s="128" t="s">
        <v>0</v>
      </c>
      <c r="E7" s="27">
        <f>1/(MAX('Curve-Mixed'!D3:D185)/(MAX('Curve-Mixed'!A3:A185)-MIN('Curve-Mixed'!A3:A185)))</f>
        <v>0.46352574576709382</v>
      </c>
      <c r="H7" s="4" t="s">
        <v>32</v>
      </c>
      <c r="I7" s="3">
        <f>SUM('I-Barrows'!C8:J8)</f>
        <v>135</v>
      </c>
      <c r="J7" s="4">
        <f>I6-I7</f>
        <v>0</v>
      </c>
      <c r="L7" s="2"/>
    </row>
    <row r="8" spans="1:13" x14ac:dyDescent="0.25">
      <c r="A8" s="128" t="s">
        <v>25</v>
      </c>
      <c r="B8" s="27">
        <f>1/B7</f>
        <v>2.4274396512512317</v>
      </c>
      <c r="C8" s="130">
        <f>'I-Mixed'!C4/E8</f>
        <v>1.1263675622140381</v>
      </c>
      <c r="D8" s="128" t="s">
        <v>25</v>
      </c>
      <c r="E8" s="27">
        <f>1/E7</f>
        <v>2.1573774685267786</v>
      </c>
      <c r="H8" s="4" t="s">
        <v>33</v>
      </c>
      <c r="I8" s="3">
        <f>SUM('I-Gilts'!C8:J8)</f>
        <v>135</v>
      </c>
      <c r="J8" s="4">
        <f>I6-I8</f>
        <v>0</v>
      </c>
    </row>
    <row r="9" spans="1:13" x14ac:dyDescent="0.25">
      <c r="A9" s="128" t="s">
        <v>23</v>
      </c>
      <c r="B9" s="25">
        <f>MAX('Curve-Mixed'!K3:K185)</f>
        <v>276.4853762775154</v>
      </c>
      <c r="C9" s="128"/>
      <c r="D9" s="128" t="s">
        <v>23</v>
      </c>
      <c r="E9" s="25">
        <f>MAX('Curve-Mixed'!D3:D185)</f>
        <v>222.90345533955573</v>
      </c>
      <c r="J9" s="4"/>
    </row>
    <row r="10" spans="1:13" x14ac:dyDescent="0.25">
      <c r="A10" s="128" t="s">
        <v>20</v>
      </c>
      <c r="B10" s="129">
        <f>B1+B2</f>
        <v>155.11764705882354</v>
      </c>
      <c r="C10" s="128"/>
      <c r="D10" s="128" t="s">
        <v>20</v>
      </c>
      <c r="E10" s="26">
        <f>MAX('Curve-Mixed'!B3:B185)</f>
        <v>155</v>
      </c>
    </row>
    <row r="11" spans="1:13" x14ac:dyDescent="0.25">
      <c r="F11" s="4"/>
      <c r="J11" s="2"/>
    </row>
    <row r="12" spans="1:13" x14ac:dyDescent="0.25">
      <c r="F12" s="1"/>
      <c r="J12" s="4"/>
    </row>
    <row r="13" spans="1:13" x14ac:dyDescent="0.25">
      <c r="B13">
        <v>1</v>
      </c>
      <c r="C13">
        <v>2</v>
      </c>
      <c r="D13">
        <v>3</v>
      </c>
      <c r="E13">
        <v>4</v>
      </c>
      <c r="F13">
        <v>5</v>
      </c>
      <c r="G13">
        <v>6</v>
      </c>
      <c r="H13">
        <v>7</v>
      </c>
      <c r="I13">
        <v>8</v>
      </c>
      <c r="J13" s="4"/>
    </row>
    <row r="14" spans="1:13" x14ac:dyDescent="0.25">
      <c r="A14" t="s">
        <v>44</v>
      </c>
      <c r="B14" s="61">
        <f>IF('Кормовой бюджет'!C21&gt;0,IF('Кормовой бюджет'!$C$4='Кормовой бюджет'!$O$20,'Кормовой бюджет'!C21*2.204622,'Кормовой бюджет'!C21),"")</f>
        <v>3355</v>
      </c>
      <c r="C14" s="61">
        <f>IF('Кормовой бюджет'!D21&gt;0,IF('Кормовой бюджет'!$C$4='Кормовой бюджет'!$O$20,'Кормовой бюджет'!D21*2.204622,'Кормовой бюджет'!D21),"")</f>
        <v>3355</v>
      </c>
      <c r="D14" s="61">
        <f>IF('Кормовой бюджет'!E21&gt;0,IF('Кормовой бюджет'!$C$4='Кормовой бюджет'!$O$20,'Кормовой бюджет'!E21*2.204622,'Кормовой бюджет'!E21),"")</f>
        <v>3355</v>
      </c>
      <c r="E14" s="61">
        <f>IF('Кормовой бюджет'!F21&gt;0,IF('Кормовой бюджет'!$C$4='Кормовой бюджет'!$O$20,'Кормовой бюджет'!F21*2.204622,'Кормовой бюджет'!F21),"")</f>
        <v>3355</v>
      </c>
      <c r="F14" s="61">
        <f>IF('Кормовой бюджет'!G21&gt;0,IF('Кормовой бюджет'!$C$4='Кормовой бюджет'!$O$20,'Кормовой бюджет'!G21*2.204622,'Кормовой бюджет'!G21),"")</f>
        <v>3355</v>
      </c>
      <c r="G14" s="61">
        <f>IF('Кормовой бюджет'!H21&gt;0,IF('Кормовой бюджет'!$C$4='Кормовой бюджет'!$O$20,'Кормовой бюджет'!H21*2.204622,'Кормовой бюджет'!H21),"")</f>
        <v>3355</v>
      </c>
      <c r="H14" s="61">
        <f>IF('Кормовой бюджет'!I21&gt;0,IF('Кормовой бюджет'!$C$4='Кормовой бюджет'!$O$20,'Кормовой бюджет'!I21*2.204622,'Кормовой бюджет'!I21),"")</f>
        <v>3355</v>
      </c>
      <c r="I14" s="61">
        <f>IF('Кормовой бюджет'!J21&gt;0,IF('Кормовой бюджет'!$C$4='Кормовой бюджет'!$O$20,'Кормовой бюджет'!J21*2.204622,'Кормовой бюджет'!J21),"")</f>
        <v>3355</v>
      </c>
      <c r="J14" s="4"/>
    </row>
    <row r="15" spans="1:13" x14ac:dyDescent="0.25">
      <c r="A15" t="s">
        <v>58</v>
      </c>
      <c r="B15" s="61">
        <f>IFERROR(AVERAGE('Кормовой бюджет'!C23:C24)/2.204622,"")</f>
        <v>3.1751474856007063</v>
      </c>
      <c r="C15" s="61">
        <f>IFERROR(AVERAGE('Кормовой бюджет'!D23:D24)/2.204622,"")</f>
        <v>4.5359249794295797</v>
      </c>
      <c r="D15" s="61">
        <f>IFERROR(AVERAGE('Кормовой бюджет'!E23:E24)/2.204622,"")</f>
        <v>8.3914612119447227</v>
      </c>
      <c r="E15" s="61">
        <f>IFERROR(AVERAGE('Кормовой бюджет'!F23:F24)/2.204622,"")</f>
        <v>15.87573742800353</v>
      </c>
      <c r="F15" s="61">
        <f>IFERROR(AVERAGE('Кормовой бюджет'!G23:G24)/2.204622,"")</f>
        <v>26.081568631720085</v>
      </c>
      <c r="G15" s="61">
        <f>IFERROR(AVERAGE('Кормовой бюджет'!H23:H24)/2.204622,"")</f>
        <v>37.421381080294033</v>
      </c>
      <c r="H15" s="61">
        <f>IFERROR(AVERAGE('Кормовой бюджет'!I23:I24)/2.204622,"")</f>
        <v>46.493231039153194</v>
      </c>
      <c r="I15" s="61">
        <f>IFERROR(AVERAGE('Кормовой бюджет'!J23:J24)/2.204622,"")</f>
        <v>52.16313726344017</v>
      </c>
      <c r="J15" s="4"/>
    </row>
    <row r="16" spans="1:13" x14ac:dyDescent="0.25">
      <c r="A16" t="s">
        <v>57</v>
      </c>
      <c r="B16" s="70">
        <f>(SUMPRODUCT(B14:I14,B15:I15)/SUM(B15:I15))</f>
        <v>3355</v>
      </c>
      <c r="C16" t="s">
        <v>56</v>
      </c>
      <c r="F16" s="1"/>
      <c r="J16" s="4"/>
    </row>
    <row r="17" spans="1:10" x14ac:dyDescent="0.25">
      <c r="A17" s="23" t="str">
        <f>IF(B16&lt;B19,A19,IF(B16&gt;B21,A21,A20))</f>
        <v>High energy diet</v>
      </c>
    </row>
    <row r="18" spans="1:10" x14ac:dyDescent="0.25">
      <c r="B18" s="237" t="s">
        <v>127</v>
      </c>
      <c r="C18" s="237"/>
      <c r="D18" s="237"/>
      <c r="E18" s="237"/>
      <c r="G18" s="237" t="s">
        <v>126</v>
      </c>
      <c r="H18" s="237"/>
      <c r="I18" s="237"/>
      <c r="J18" s="237"/>
    </row>
    <row r="19" spans="1:10" x14ac:dyDescent="0.25">
      <c r="A19" t="s">
        <v>53</v>
      </c>
      <c r="B19" s="24">
        <v>3218</v>
      </c>
      <c r="C19" t="s">
        <v>56</v>
      </c>
      <c r="D19" s="26">
        <f>B19/2.204622</f>
        <v>1459.6606583804389</v>
      </c>
      <c r="E19" t="s">
        <v>125</v>
      </c>
      <c r="G19" s="26">
        <f>B19*0.73</f>
        <v>2349.14</v>
      </c>
      <c r="H19" t="s">
        <v>56</v>
      </c>
      <c r="I19" s="26">
        <f>G19/2.204622</f>
        <v>1065.5522806177203</v>
      </c>
      <c r="J19" t="s">
        <v>125</v>
      </c>
    </row>
    <row r="20" spans="1:10" x14ac:dyDescent="0.25">
      <c r="A20" t="s">
        <v>55</v>
      </c>
      <c r="B20" s="24">
        <f>AVERAGE(B19,B21)</f>
        <v>3284</v>
      </c>
      <c r="C20" t="s">
        <v>56</v>
      </c>
      <c r="D20" s="26">
        <f t="shared" ref="D20:D21" si="0">B20/2.204622</f>
        <v>1489.5977632446741</v>
      </c>
      <c r="E20" t="s">
        <v>125</v>
      </c>
      <c r="G20" s="26">
        <f>AVERAGE(G19,G21)</f>
        <v>2481.0699999999997</v>
      </c>
      <c r="H20" t="s">
        <v>56</v>
      </c>
      <c r="I20" s="26">
        <f t="shared" ref="I20:I21" si="1">G20/2.204622</f>
        <v>1125.3947388713348</v>
      </c>
      <c r="J20" t="s">
        <v>125</v>
      </c>
    </row>
    <row r="21" spans="1:10" x14ac:dyDescent="0.25">
      <c r="A21" t="s">
        <v>54</v>
      </c>
      <c r="B21" s="24">
        <v>3350</v>
      </c>
      <c r="C21" t="s">
        <v>56</v>
      </c>
      <c r="D21" s="26">
        <f t="shared" si="0"/>
        <v>1519.5348681089092</v>
      </c>
      <c r="E21" t="s">
        <v>125</v>
      </c>
      <c r="G21" s="193">
        <f>B21*0.78</f>
        <v>2613</v>
      </c>
      <c r="H21" t="s">
        <v>56</v>
      </c>
      <c r="I21" s="26">
        <f t="shared" si="1"/>
        <v>1185.2371971249493</v>
      </c>
      <c r="J21" t="s">
        <v>125</v>
      </c>
    </row>
    <row r="24" spans="1:10" x14ac:dyDescent="0.25">
      <c r="A24" t="s">
        <v>60</v>
      </c>
    </row>
    <row r="25" spans="1:10" x14ac:dyDescent="0.25">
      <c r="A25" t="s">
        <v>61</v>
      </c>
    </row>
    <row r="26" spans="1:10" x14ac:dyDescent="0.25">
      <c r="A26" s="198"/>
      <c r="B26" s="199"/>
      <c r="C26" s="197"/>
      <c r="D26" s="197"/>
      <c r="F26" s="238"/>
      <c r="G26" s="238"/>
      <c r="H26" s="238"/>
      <c r="I26" s="238"/>
    </row>
    <row r="27" spans="1:10" x14ac:dyDescent="0.25">
      <c r="A27" t="s">
        <v>69</v>
      </c>
      <c r="B27" s="139" t="str">
        <f>'Кормовой бюджет'!C6</f>
        <v>Carcass</v>
      </c>
      <c r="G27" s="194"/>
    </row>
    <row r="28" spans="1:10" x14ac:dyDescent="0.25">
      <c r="B28" s="24" t="s">
        <v>52</v>
      </c>
      <c r="C28" s="24" t="s">
        <v>32</v>
      </c>
      <c r="D28" s="24" t="s">
        <v>33</v>
      </c>
      <c r="G28" s="195"/>
      <c r="H28" s="195"/>
      <c r="I28" s="195"/>
    </row>
    <row r="29" spans="1:10" x14ac:dyDescent="0.25">
      <c r="A29" t="s">
        <v>128</v>
      </c>
      <c r="B29" s="61">
        <f>MAX('Кормовой бюджет'!C24:J24)</f>
        <v>120</v>
      </c>
      <c r="C29" s="61">
        <f>MAX('Кормовой бюджет'!D38:Q38)</f>
        <v>123.86885355649652</v>
      </c>
      <c r="D29" s="61">
        <f>MAX('Кормовой бюджет'!E43:R43)</f>
        <v>122.77658254670938</v>
      </c>
      <c r="G29" s="61"/>
      <c r="H29" s="61"/>
      <c r="I29" s="61"/>
    </row>
    <row r="30" spans="1:10" x14ac:dyDescent="0.25">
      <c r="A30" t="s">
        <v>129</v>
      </c>
      <c r="B30" s="29">
        <f>B29*'Кормовой бюджет'!$C$9/100</f>
        <v>90</v>
      </c>
      <c r="C30" s="29">
        <f>C29*'Кормовой бюджет'!$C$9/100</f>
        <v>92.901640167372392</v>
      </c>
      <c r="D30" s="29">
        <f>D29*'Кормовой бюджет'!$C$9/100</f>
        <v>92.08243691003203</v>
      </c>
      <c r="G30" s="29"/>
      <c r="H30" s="29"/>
      <c r="I30" s="29"/>
    </row>
    <row r="31" spans="1:10" x14ac:dyDescent="0.25">
      <c r="A31" t="s">
        <v>71</v>
      </c>
      <c r="B31" s="80">
        <f>(SUMPRODUCT('Кормовой бюджет'!$C$22:$J$22,'Кормовой бюджет'!C34:J34)/SUM('Кормовой бюджет'!C34:J34)/2000)*SUM('Кормовой бюджет'!C34:J34)</f>
        <v>0</v>
      </c>
      <c r="C31" s="80">
        <f>(SUMPRODUCT('Кормовой бюджет'!$C$22:$J$22,'Кормовой бюджет'!C39:J39)/SUM('Кормовой бюджет'!C39:J39)/2000)*SUM('Кормовой бюджет'!C39:J39)</f>
        <v>0</v>
      </c>
      <c r="D31" s="80">
        <f>(SUMPRODUCT('Кормовой бюджет'!$C$22:$J$22,'Кормовой бюджет'!C44:J44)/SUM('Кормовой бюджет'!C44:J44)/2000)*SUM('Кормовой бюджет'!C44:J44)</f>
        <v>0</v>
      </c>
      <c r="G31" s="80"/>
      <c r="H31" s="80"/>
      <c r="I31" s="80"/>
    </row>
    <row r="32" spans="1:10" x14ac:dyDescent="0.25">
      <c r="A32" t="s">
        <v>102</v>
      </c>
      <c r="B32" s="156">
        <f>'Кормовой бюджет'!$C$7*SUM('Кормовой бюджет'!$C$35:$J$35)</f>
        <v>16.2</v>
      </c>
      <c r="C32" s="156">
        <f>'Кормовой бюджет'!$C$7*SUM('Кормовой бюджет'!$C$40:$J$40)</f>
        <v>16.2</v>
      </c>
      <c r="D32" s="156">
        <f>'Кормовой бюджет'!$C$7*SUM('Кормовой бюджет'!$C$45:$J$45)</f>
        <v>16.2</v>
      </c>
      <c r="G32" s="156"/>
      <c r="H32" s="157"/>
      <c r="I32" s="157"/>
    </row>
    <row r="33" spans="1:9" x14ac:dyDescent="0.25">
      <c r="A33" t="s">
        <v>103</v>
      </c>
      <c r="B33" s="156">
        <f>SUM(B31:B32)</f>
        <v>16.2</v>
      </c>
      <c r="C33" s="156">
        <f t="shared" ref="C33:D33" si="2">SUM(C31:C32)</f>
        <v>16.2</v>
      </c>
      <c r="D33" s="156">
        <f t="shared" si="2"/>
        <v>16.2</v>
      </c>
      <c r="G33" s="156"/>
      <c r="H33" s="156"/>
      <c r="I33" s="156"/>
    </row>
    <row r="34" spans="1:9" x14ac:dyDescent="0.25">
      <c r="A34" t="s">
        <v>70</v>
      </c>
      <c r="B34" s="80">
        <f>IF($B$27="Live",B29*'Кормовой бюджет'!$C$8,B30*'Кормовой бюджет'!$C$8)</f>
        <v>50.400000000000006</v>
      </c>
      <c r="C34" s="80">
        <f>IF($B$27="Live",C29*'Кормовой бюджет'!$C$8,C30*'Кормовой бюджет'!$C$8)</f>
        <v>52.024918493728542</v>
      </c>
      <c r="D34" s="80">
        <f>IF($B$27="Live",D29*'Кормовой бюджет'!$C$8,D30*'Кормовой бюджет'!$C$8)</f>
        <v>51.56616466961794</v>
      </c>
      <c r="G34" s="80"/>
      <c r="H34" s="80"/>
      <c r="I34" s="80"/>
    </row>
    <row r="35" spans="1:9" x14ac:dyDescent="0.25">
      <c r="A35" t="s">
        <v>64</v>
      </c>
      <c r="B35" s="80">
        <f>B34-B31</f>
        <v>50.400000000000006</v>
      </c>
      <c r="C35" s="80">
        <f t="shared" ref="C35:D35" si="3">C34-C31</f>
        <v>52.024918493728542</v>
      </c>
      <c r="D35" s="80">
        <f t="shared" si="3"/>
        <v>51.56616466961794</v>
      </c>
      <c r="G35" s="80"/>
      <c r="H35" s="80"/>
      <c r="I35" s="80"/>
    </row>
    <row r="36" spans="1:9" x14ac:dyDescent="0.25">
      <c r="A36" t="s">
        <v>101</v>
      </c>
      <c r="B36" s="156">
        <f>B34-B33</f>
        <v>34.200000000000003</v>
      </c>
      <c r="C36" s="156">
        <f t="shared" ref="C36:D36" si="4">C34-C33</f>
        <v>35.824918493728546</v>
      </c>
      <c r="D36" s="156">
        <f t="shared" si="4"/>
        <v>35.366164669617945</v>
      </c>
      <c r="G36" s="157"/>
      <c r="H36" s="157"/>
      <c r="I36" s="157"/>
    </row>
    <row r="38" spans="1:9" x14ac:dyDescent="0.25">
      <c r="D38" s="157"/>
    </row>
    <row r="39" spans="1:9" x14ac:dyDescent="0.25">
      <c r="D39" s="157"/>
    </row>
    <row r="40" spans="1:9" x14ac:dyDescent="0.25">
      <c r="D40" s="157"/>
    </row>
    <row r="41" spans="1:9" x14ac:dyDescent="0.25">
      <c r="D41" s="157"/>
    </row>
  </sheetData>
  <mergeCells count="5">
    <mergeCell ref="A5:B5"/>
    <mergeCell ref="D5:E5"/>
    <mergeCell ref="B18:E18"/>
    <mergeCell ref="G18:J18"/>
    <mergeCell ref="F26:I26"/>
  </mergeCells>
  <conditionalFormatting sqref="A17">
    <cfRule type="cellIs" dxfId="2" priority="1" operator="equal">
      <formula>$A$19</formula>
    </cfRule>
    <cfRule type="cellIs" dxfId="1" priority="2" operator="equal">
      <formula>$A$21</formula>
    </cfRule>
    <cfRule type="cellIs" dxfId="0" priority="3" operator="equal">
      <formula>$A$20</formula>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1E2DE-F2A6-4D78-B974-72FBD0D2EBDE}">
  <sheetPr codeName="Sheet10"/>
  <dimension ref="A1:J16"/>
  <sheetViews>
    <sheetView showGridLines="0" workbookViewId="0">
      <selection activeCell="B6" sqref="B6"/>
    </sheetView>
  </sheetViews>
  <sheetFormatPr defaultRowHeight="15" x14ac:dyDescent="0.25"/>
  <cols>
    <col min="1" max="1" width="13.42578125" bestFit="1" customWidth="1"/>
    <col min="2" max="2" width="9.5703125" bestFit="1" customWidth="1"/>
    <col min="4" max="4" width="14.140625" customWidth="1"/>
    <col min="7" max="7" width="14.7109375" bestFit="1" customWidth="1"/>
  </cols>
  <sheetData>
    <row r="1" spans="1:10" x14ac:dyDescent="0.25">
      <c r="A1" s="18" t="s">
        <v>18</v>
      </c>
      <c r="B1" s="4">
        <f>'Adj-Mixed'!B1</f>
        <v>134.11764705882354</v>
      </c>
    </row>
    <row r="2" spans="1:10" x14ac:dyDescent="0.25">
      <c r="A2" t="s">
        <v>19</v>
      </c>
      <c r="B2" s="4">
        <f>'I-Mixed'!C5</f>
        <v>21</v>
      </c>
    </row>
    <row r="4" spans="1:10" x14ac:dyDescent="0.25">
      <c r="I4" s="2"/>
    </row>
    <row r="5" spans="1:10" x14ac:dyDescent="0.25">
      <c r="A5" s="236" t="s">
        <v>1</v>
      </c>
      <c r="B5" s="236"/>
      <c r="C5" s="24" t="s">
        <v>26</v>
      </c>
      <c r="D5" s="236">
        <f>'E-Barrows'!A1</f>
        <v>337</v>
      </c>
      <c r="E5" s="236"/>
      <c r="G5" s="100" t="s">
        <v>43</v>
      </c>
      <c r="I5" s="1"/>
    </row>
    <row r="6" spans="1:10" x14ac:dyDescent="0.25">
      <c r="A6" s="127" t="s">
        <v>24</v>
      </c>
      <c r="B6" s="26">
        <f>((MAX('Curve-Barrows'!H3:H185)-MIN('Curve-Barrows'!H3:H185))/(MAX('Curve-Barrows'!I3:I185)-MIN('Curve-Barrows'!I3:I185))*1000)</f>
        <v>879.67498099468742</v>
      </c>
      <c r="C6" s="131">
        <f>'I-Mixed'!C3*'Adj-Barrows'!G6/E6</f>
        <v>1.1023844080428413</v>
      </c>
      <c r="D6" s="127" t="s">
        <v>24</v>
      </c>
      <c r="E6" s="26">
        <f>(MAX('Curve-Barrows'!A3:A185)-MIN('Curve-Barrows'!A3:A185))/(MAX('Curve-Barrows'!B3:B185)-MIN('Curve-Barrows'!B3:B185))*1000</f>
        <v>797.97480314190102</v>
      </c>
      <c r="G6" s="62">
        <f>E6/'Adj-Mixed'!E6</f>
        <v>1.0349117423466911</v>
      </c>
    </row>
    <row r="7" spans="1:10" x14ac:dyDescent="0.25">
      <c r="A7" s="128" t="s">
        <v>0</v>
      </c>
      <c r="B7" s="27">
        <f>1/(MAX('Curve-Barrows'!K3:K185)/(MAX('Curve-Barrows'!H3:H185)-MIN('Curve-Barrows'!H3:H185)))</f>
        <v>0.40100343981934267</v>
      </c>
      <c r="C7" s="131">
        <f>(1/'I-Mixed'!C4*'Adj-Barrows'!G7)/E7</f>
        <v>0.88780965782994992</v>
      </c>
      <c r="D7" s="128" t="s">
        <v>0</v>
      </c>
      <c r="E7" s="27">
        <f>1/(MAX('Curve-Barrows'!D4:D185)/(MAX('Curve-Barrows'!A3:A185)-MIN('Curve-Barrows'!A3:A185)))</f>
        <v>0.45167726694875676</v>
      </c>
      <c r="G7" s="62">
        <f>E7/'Adj-Mixed'!E7</f>
        <v>0.97443835876100282</v>
      </c>
    </row>
    <row r="8" spans="1:10" x14ac:dyDescent="0.25">
      <c r="A8" s="128" t="s">
        <v>25</v>
      </c>
      <c r="B8" s="27">
        <f>1/B7</f>
        <v>2.4937441944401106</v>
      </c>
      <c r="C8" s="131">
        <f>'I-Mixed'!C4*'Adj-Barrows'!G8/E8</f>
        <v>1.1263675622140381</v>
      </c>
      <c r="D8" s="128" t="s">
        <v>25</v>
      </c>
      <c r="E8" s="27">
        <f>1/E7</f>
        <v>2.2139701799812985</v>
      </c>
      <c r="G8" s="62">
        <f>E8/'Adj-Mixed'!E8</f>
        <v>1.0262321787819384</v>
      </c>
      <c r="J8" s="1"/>
    </row>
    <row r="9" spans="1:10" x14ac:dyDescent="0.25">
      <c r="A9" s="128" t="s">
        <v>23</v>
      </c>
      <c r="B9" s="25">
        <f>MAX('Curve-Barrows'!K4:K185)</f>
        <v>293.95370649786202</v>
      </c>
      <c r="C9" s="128"/>
      <c r="D9" s="128" t="s">
        <v>23</v>
      </c>
      <c r="E9" s="25">
        <f>MAX('Curve-Barrows'!D4:D185)</f>
        <v>236.73678408337054</v>
      </c>
    </row>
    <row r="10" spans="1:10" x14ac:dyDescent="0.25">
      <c r="A10" s="128" t="s">
        <v>20</v>
      </c>
      <c r="B10" s="129">
        <f>B1+B2</f>
        <v>155.11764705882354</v>
      </c>
      <c r="C10" s="128"/>
      <c r="D10" s="128" t="s">
        <v>20</v>
      </c>
      <c r="E10" s="26">
        <f>MAX('Curve-Barrows'!B4:B185)</f>
        <v>155</v>
      </c>
    </row>
    <row r="11" spans="1:10" x14ac:dyDescent="0.25">
      <c r="F11" s="4"/>
      <c r="J11" s="2"/>
    </row>
    <row r="12" spans="1:10" x14ac:dyDescent="0.25">
      <c r="A12" s="128" t="s">
        <v>85</v>
      </c>
      <c r="B12" s="27">
        <f>1/'Adj-Gilts'!B12</f>
        <v>0.99042416300538261</v>
      </c>
      <c r="F12" s="1"/>
      <c r="J12" s="4"/>
    </row>
    <row r="15" spans="1:10" x14ac:dyDescent="0.25">
      <c r="C15" s="2"/>
    </row>
    <row r="16" spans="1:10" x14ac:dyDescent="0.25">
      <c r="A16" s="18"/>
      <c r="B16" s="3"/>
    </row>
  </sheetData>
  <mergeCells count="2">
    <mergeCell ref="A5:B5"/>
    <mergeCell ref="D5:E5"/>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B193F-3847-4E6B-A1CA-B9FFE5654F9C}">
  <sheetPr codeName="Sheet11"/>
  <dimension ref="A1:J23"/>
  <sheetViews>
    <sheetView showGridLines="0" workbookViewId="0">
      <selection activeCell="B12" sqref="B12"/>
    </sheetView>
  </sheetViews>
  <sheetFormatPr defaultRowHeight="15" x14ac:dyDescent="0.25"/>
  <cols>
    <col min="1" max="1" width="13.42578125" bestFit="1" customWidth="1"/>
    <col min="2" max="2" width="9.5703125" bestFit="1" customWidth="1"/>
    <col min="4" max="4" width="12" bestFit="1" customWidth="1"/>
    <col min="7" max="7" width="14.7109375" bestFit="1" customWidth="1"/>
  </cols>
  <sheetData>
    <row r="1" spans="1:10" x14ac:dyDescent="0.25">
      <c r="A1" s="18" t="s">
        <v>18</v>
      </c>
      <c r="B1" s="4">
        <f>'Adj-Mixed'!B1</f>
        <v>134.11764705882354</v>
      </c>
    </row>
    <row r="2" spans="1:10" x14ac:dyDescent="0.25">
      <c r="A2" t="s">
        <v>19</v>
      </c>
      <c r="B2" s="4">
        <f>'I-Mixed'!C5</f>
        <v>21</v>
      </c>
    </row>
    <row r="3" spans="1:10" x14ac:dyDescent="0.25">
      <c r="I3" s="2"/>
    </row>
    <row r="4" spans="1:10" x14ac:dyDescent="0.25">
      <c r="I4" s="2"/>
    </row>
    <row r="5" spans="1:10" x14ac:dyDescent="0.25">
      <c r="A5" s="236" t="s">
        <v>1</v>
      </c>
      <c r="B5" s="236"/>
      <c r="C5" s="126" t="s">
        <v>26</v>
      </c>
      <c r="D5" s="236">
        <f>'E-Gilts'!A1</f>
        <v>337</v>
      </c>
      <c r="E5" s="236"/>
      <c r="G5" s="139" t="s">
        <v>42</v>
      </c>
    </row>
    <row r="6" spans="1:10" x14ac:dyDescent="0.25">
      <c r="A6" s="127" t="s">
        <v>24</v>
      </c>
      <c r="B6" s="26">
        <f>((MAX('Curve-Gilts'!H3:H185)-MIN('Curve-Gilts'!H3:H185))/(MAX('Curve-Gilts'!I3:I185)-MIN('Curve-Gilts'!I3:I185))*1000)</f>
        <v>820.3250190053127</v>
      </c>
      <c r="C6" s="131">
        <f>'I-Mixed'!C3*'Adj-Gilts'!G6/E6</f>
        <v>1.1023844080428413</v>
      </c>
      <c r="D6" s="127" t="s">
        <v>24</v>
      </c>
      <c r="E6" s="26">
        <f>(MAX('Curve-Gilts'!A3:A185)-MIN('Curve-Gilts'!A3:A185))/(MAX('Curve-Gilts'!B3:B185)-MIN('Curve-Gilts'!B3:B185))*1000</f>
        <v>744.13699343018368</v>
      </c>
      <c r="G6" s="62">
        <f>E6/'Adj-Mixed'!E6</f>
        <v>0.96508825765330908</v>
      </c>
    </row>
    <row r="7" spans="1:10" x14ac:dyDescent="0.25">
      <c r="A7" s="128" t="s">
        <v>0</v>
      </c>
      <c r="B7" s="27">
        <f>1/(MAX('Curve-Gilts'!K3:K185)/(MAX('Curve-Gilts'!H3:H185)-MIN('Curve-Gilts'!H3:H185)))</f>
        <v>0.42343385311236809</v>
      </c>
      <c r="C7" s="131">
        <f>(1/'I-Mixed'!C4*'Adj-Gilts'!G7)/E7</f>
        <v>0.88780965782994992</v>
      </c>
      <c r="D7" s="128" t="s">
        <v>0</v>
      </c>
      <c r="E7" s="27">
        <f>1/(MAX('Curve-Gilts'!D4:D185)/(MAX('Curve-Gilts'!A3:A185)-MIN('Curve-Gilts'!A3:A185)))</f>
        <v>0.47694215688907521</v>
      </c>
      <c r="G7" s="62">
        <f>E7/'Adj-Mixed'!E7</f>
        <v>1.0289442630630548</v>
      </c>
    </row>
    <row r="8" spans="1:10" x14ac:dyDescent="0.25">
      <c r="A8" s="128" t="s">
        <v>25</v>
      </c>
      <c r="B8" s="27">
        <f>1/B7</f>
        <v>2.361643956074118</v>
      </c>
      <c r="C8" s="131">
        <f>'I-Mixed'!C4*'Adj-Gilts'!G8/E8</f>
        <v>1.1263675622140379</v>
      </c>
      <c r="D8" s="128" t="s">
        <v>25</v>
      </c>
      <c r="E8" s="27">
        <f>1/E7</f>
        <v>2.0966903125583318</v>
      </c>
      <c r="G8" s="62">
        <f>E8/'Adj-Mixed'!E8</f>
        <v>0.97186994077124178</v>
      </c>
      <c r="J8" s="1"/>
    </row>
    <row r="9" spans="1:10" x14ac:dyDescent="0.25">
      <c r="A9" s="128" t="s">
        <v>23</v>
      </c>
      <c r="B9" s="25">
        <f>MAX('Curve-Gilts'!K4:K185)</f>
        <v>259.6002935021379</v>
      </c>
      <c r="C9" s="128"/>
      <c r="D9" s="128" t="s">
        <v>23</v>
      </c>
      <c r="E9" s="25">
        <f>MAX('Curve-Gilts'!D4:D185)</f>
        <v>209.07012659574079</v>
      </c>
    </row>
    <row r="10" spans="1:10" x14ac:dyDescent="0.25">
      <c r="A10" s="128" t="s">
        <v>20</v>
      </c>
      <c r="B10" s="129">
        <f>B1+B2</f>
        <v>155.11764705882354</v>
      </c>
      <c r="C10" s="128"/>
      <c r="D10" s="128" t="s">
        <v>20</v>
      </c>
      <c r="E10" s="26">
        <f>MAX('Curve-Gilts'!B4:B185)</f>
        <v>155</v>
      </c>
    </row>
    <row r="11" spans="1:10" x14ac:dyDescent="0.25">
      <c r="F11" s="4"/>
      <c r="J11" s="2"/>
    </row>
    <row r="12" spans="1:10" x14ac:dyDescent="0.25">
      <c r="A12" s="128" t="s">
        <v>86</v>
      </c>
      <c r="B12" s="28">
        <f>IF('Adj-Mixed'!A17='Adj-Mixed'!A19,(VLOOKUP(B2,'337'!A6:AF188,32)),IF('Adj-Mixed'!A17='Adj-Mixed'!A20,(VLOOKUP(B2,'337'!A6:AF188,31)),IF('Adj-Mixed'!A17='Adj-Mixed'!A21,(VLOOKUP(B2,'337'!A6:AF188,30)))))</f>
        <v>1.009668420210549</v>
      </c>
      <c r="F12" s="1"/>
      <c r="J12" s="4"/>
    </row>
    <row r="16" spans="1:10" x14ac:dyDescent="0.25">
      <c r="A16" s="18"/>
      <c r="B16" s="3"/>
    </row>
    <row r="20" spans="6:7" x14ac:dyDescent="0.25">
      <c r="F20" s="4"/>
      <c r="G20" s="4"/>
    </row>
    <row r="23" spans="6:7" x14ac:dyDescent="0.25">
      <c r="F23" s="1"/>
    </row>
  </sheetData>
  <mergeCells count="2">
    <mergeCell ref="A5:B5"/>
    <mergeCell ref="D5:E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853D5-DFEC-49BB-A685-84A05DD024EC}">
  <sheetPr codeName="Sheet2"/>
  <dimension ref="A1:S55"/>
  <sheetViews>
    <sheetView zoomScale="80" zoomScaleNormal="80" workbookViewId="0">
      <pane xSplit="1" ySplit="6" topLeftCell="B7" activePane="bottomRight" state="frozen"/>
      <selection pane="topRight" activeCell="B1" sqref="B1"/>
      <selection pane="bottomLeft" activeCell="A7" sqref="A7"/>
      <selection pane="bottomRight" activeCell="A4" sqref="A4"/>
    </sheetView>
  </sheetViews>
  <sheetFormatPr defaultRowHeight="15" x14ac:dyDescent="0.25"/>
  <cols>
    <col min="1" max="4" width="13.140625" customWidth="1"/>
    <col min="5" max="10" width="10" bestFit="1" customWidth="1"/>
    <col min="11" max="19" width="13.140625" customWidth="1"/>
  </cols>
  <sheetData>
    <row r="1" spans="1:19" ht="26.25" x14ac:dyDescent="0.25">
      <c r="A1" s="36" t="s">
        <v>28</v>
      </c>
      <c r="B1" s="206">
        <v>337</v>
      </c>
      <c r="C1" s="206"/>
      <c r="D1" s="206"/>
      <c r="E1" s="206"/>
      <c r="F1" s="206"/>
      <c r="G1" s="206"/>
      <c r="H1" s="206"/>
      <c r="I1" s="206"/>
      <c r="J1" s="206"/>
      <c r="K1" s="206"/>
      <c r="L1" s="206"/>
      <c r="M1" s="206"/>
      <c r="N1" s="206"/>
      <c r="O1" s="206"/>
      <c r="P1" s="206"/>
      <c r="Q1" s="206"/>
      <c r="R1" s="206"/>
      <c r="S1" s="206"/>
    </row>
    <row r="2" spans="1:19" ht="15.75" x14ac:dyDescent="0.25">
      <c r="A2" s="36" t="s">
        <v>29</v>
      </c>
      <c r="B2" s="207" t="s">
        <v>76</v>
      </c>
      <c r="C2" s="207"/>
      <c r="D2" s="207"/>
      <c r="E2" s="207"/>
      <c r="F2" s="207"/>
      <c r="G2" s="207"/>
      <c r="H2" s="207"/>
      <c r="I2" s="207"/>
      <c r="J2" s="207"/>
      <c r="K2" s="208" t="s">
        <v>77</v>
      </c>
      <c r="L2" s="208"/>
      <c r="M2" s="208"/>
      <c r="N2" s="208"/>
      <c r="O2" s="208"/>
      <c r="P2" s="208"/>
      <c r="Q2" s="208"/>
      <c r="R2" s="208"/>
      <c r="S2" s="208"/>
    </row>
    <row r="3" spans="1:19" x14ac:dyDescent="0.25">
      <c r="B3" s="207" t="s">
        <v>14</v>
      </c>
      <c r="C3" s="207"/>
      <c r="D3" s="207"/>
      <c r="E3" s="207" t="s">
        <v>30</v>
      </c>
      <c r="F3" s="207"/>
      <c r="G3" s="207"/>
      <c r="H3" s="207" t="s">
        <v>25</v>
      </c>
      <c r="I3" s="207"/>
      <c r="J3" s="207"/>
      <c r="K3" s="208" t="s">
        <v>14</v>
      </c>
      <c r="L3" s="208"/>
      <c r="M3" s="208"/>
      <c r="N3" s="208" t="s">
        <v>30</v>
      </c>
      <c r="O3" s="208"/>
      <c r="P3" s="208"/>
      <c r="Q3" s="208" t="s">
        <v>25</v>
      </c>
      <c r="R3" s="208"/>
      <c r="S3" s="208"/>
    </row>
    <row r="4" spans="1:19" ht="15.75" x14ac:dyDescent="0.25">
      <c r="A4" s="37" t="s">
        <v>31</v>
      </c>
      <c r="B4" s="98" t="s">
        <v>52</v>
      </c>
      <c r="C4" s="98" t="s">
        <v>32</v>
      </c>
      <c r="D4" s="98" t="s">
        <v>33</v>
      </c>
      <c r="E4" s="98" t="s">
        <v>52</v>
      </c>
      <c r="F4" s="98" t="s">
        <v>32</v>
      </c>
      <c r="G4" s="98" t="s">
        <v>33</v>
      </c>
      <c r="H4" s="98" t="s">
        <v>52</v>
      </c>
      <c r="I4" s="98" t="s">
        <v>32</v>
      </c>
      <c r="J4" s="98" t="s">
        <v>33</v>
      </c>
      <c r="K4" s="99" t="s">
        <v>52</v>
      </c>
      <c r="L4" s="99" t="s">
        <v>32</v>
      </c>
      <c r="M4" s="99" t="s">
        <v>33</v>
      </c>
      <c r="N4" s="99" t="s">
        <v>52</v>
      </c>
      <c r="O4" s="99" t="s">
        <v>32</v>
      </c>
      <c r="P4" s="99" t="s">
        <v>33</v>
      </c>
      <c r="Q4" s="99" t="s">
        <v>52</v>
      </c>
      <c r="R4" s="99" t="s">
        <v>32</v>
      </c>
      <c r="S4" s="99" t="s">
        <v>33</v>
      </c>
    </row>
    <row r="5" spans="1:19" x14ac:dyDescent="0.25">
      <c r="A5" s="100" t="s">
        <v>78</v>
      </c>
      <c r="B5" s="101">
        <f>B6/$K$6</f>
        <v>1.0340341996555635</v>
      </c>
      <c r="C5" s="101">
        <f>C6/$K$6</f>
        <v>1.0290595097744828</v>
      </c>
      <c r="D5" s="101">
        <f>D6/$K$6</f>
        <v>1.0390088895366441</v>
      </c>
      <c r="E5" s="101">
        <f>E6/$N$6</f>
        <v>1.0005739005201859</v>
      </c>
      <c r="F5" s="102">
        <f>F6/$E$6</f>
        <v>0.995189047052083</v>
      </c>
      <c r="G5" s="102">
        <f>G6/$E$6</f>
        <v>1.004810952947917</v>
      </c>
      <c r="H5" s="101">
        <f>H6/$Q$6</f>
        <v>0.967641013085904</v>
      </c>
      <c r="I5" s="102">
        <f>I6/$H$6</f>
        <v>1</v>
      </c>
      <c r="J5" s="102">
        <f>J6/$H$6</f>
        <v>1</v>
      </c>
      <c r="K5" s="101">
        <f>AVERAGE(L5:M5)</f>
        <v>1</v>
      </c>
      <c r="L5" s="102">
        <f>L6/$K$6</f>
        <v>0.98512498935177339</v>
      </c>
      <c r="M5" s="102">
        <f>M6/$K$6</f>
        <v>1.0148750106482267</v>
      </c>
      <c r="N5" s="101">
        <f>AVERAGE(O5:P5)</f>
        <v>1</v>
      </c>
      <c r="O5" s="102">
        <f>O6/$N$6</f>
        <v>0.98512498935177273</v>
      </c>
      <c r="P5" s="102">
        <f>P6/$N$6</f>
        <v>1.0148750106482272</v>
      </c>
      <c r="Q5" s="101">
        <v>1</v>
      </c>
      <c r="R5" s="102">
        <f>R6/$Q$6</f>
        <v>1</v>
      </c>
      <c r="S5" s="102">
        <f>S6/$Q$6</f>
        <v>1</v>
      </c>
    </row>
    <row r="6" spans="1:19" x14ac:dyDescent="0.25">
      <c r="A6" s="103">
        <f>60</f>
        <v>60</v>
      </c>
      <c r="B6" s="104">
        <f>AVERAGE(C6:D6)</f>
        <v>21.837527586510877</v>
      </c>
      <c r="C6" s="104">
        <f>'337'!B48</f>
        <v>21.732468268793319</v>
      </c>
      <c r="D6" s="104">
        <f>'337'!C48</f>
        <v>21.942586904228435</v>
      </c>
      <c r="E6" s="104">
        <f>AVERAGE(F6:G6)</f>
        <v>0.99730721083837304</v>
      </c>
      <c r="F6" s="105">
        <f>'337'!E48</f>
        <v>0.99250921277241133</v>
      </c>
      <c r="G6" s="105">
        <f>'337'!F48</f>
        <v>1.0021052089043347</v>
      </c>
      <c r="H6" s="105">
        <f>AVERAGE(I6:J6)</f>
        <v>1.4996373642284397</v>
      </c>
      <c r="I6" s="105">
        <f>'337'!H48</f>
        <v>1.4996373642284397</v>
      </c>
      <c r="J6" s="105">
        <f>'337'!J48</f>
        <v>1.4996373642284397</v>
      </c>
      <c r="K6" s="104">
        <f>AVERAGE(L6:M6)</f>
        <v>21.118767245594924</v>
      </c>
      <c r="L6" s="104">
        <f>'337'!T48</f>
        <v>20.80462535793928</v>
      </c>
      <c r="M6" s="104">
        <f>'337'!U48</f>
        <v>21.432909133250568</v>
      </c>
      <c r="N6" s="105">
        <f>AVERAGE(O6:P6)</f>
        <v>0.99673518399778904</v>
      </c>
      <c r="O6" s="105">
        <f>'337'!W48</f>
        <v>0.98190873752235919</v>
      </c>
      <c r="P6" s="105">
        <f>'337'!X48</f>
        <v>1.0115616304732189</v>
      </c>
      <c r="Q6" s="105">
        <f>AVERAGE(R6:S6)</f>
        <v>1.549786898186494</v>
      </c>
      <c r="R6" s="105">
        <f>'337'!AA48</f>
        <v>1.549786898186494</v>
      </c>
      <c r="S6" s="105">
        <f>'337'!AA48</f>
        <v>1.549786898186494</v>
      </c>
    </row>
    <row r="7" spans="1:19" x14ac:dyDescent="0.25">
      <c r="A7">
        <f>Nursery!A2</f>
        <v>18</v>
      </c>
      <c r="B7" s="2">
        <f t="shared" ref="B7:D26" si="0">$K7*B$5</f>
        <v>5.8422932280539346</v>
      </c>
      <c r="C7" s="2">
        <f t="shared" si="0"/>
        <v>5.814186230225828</v>
      </c>
      <c r="D7" s="2">
        <f t="shared" si="0"/>
        <v>5.8704002258820394</v>
      </c>
      <c r="E7" s="1">
        <f t="shared" ref="E7:G26" si="1">$N7*E$5</f>
        <v>6.0034434031211153E-3</v>
      </c>
      <c r="F7" s="1">
        <f t="shared" si="1"/>
        <v>5.9711342823124984E-3</v>
      </c>
      <c r="G7" s="1">
        <f t="shared" si="1"/>
        <v>6.0288657176875019E-3</v>
      </c>
      <c r="H7" s="1">
        <f>E7/(B8-B7)</f>
        <v>0.96764101308586914</v>
      </c>
      <c r="I7" s="1">
        <f t="shared" ref="I7:J22" si="2">F7/(C8-C7)</f>
        <v>0.96708600192628891</v>
      </c>
      <c r="J7" s="1">
        <f t="shared" si="2"/>
        <v>0.96708600192630945</v>
      </c>
      <c r="K7" s="106">
        <f>Nursery!B2</f>
        <v>5.65</v>
      </c>
      <c r="L7" s="107">
        <f>$K7*L$5</f>
        <v>5.5659561898375198</v>
      </c>
      <c r="M7" s="107">
        <f>$K7*M$5</f>
        <v>5.7340438101624809</v>
      </c>
      <c r="N7" s="108">
        <f>Nursery!D2</f>
        <v>6.0000000000000001E-3</v>
      </c>
      <c r="O7" s="108">
        <f>$N7*O$5</f>
        <v>5.9107499361106368E-3</v>
      </c>
      <c r="P7" s="109">
        <f>$N7*P$5</f>
        <v>6.0892500638893635E-3</v>
      </c>
      <c r="Q7" s="110">
        <f>N7/(K8-K7)</f>
        <v>0.99999999999996214</v>
      </c>
      <c r="R7" s="110">
        <f>O7/(L8-L7)</f>
        <v>1.0000000000000018</v>
      </c>
      <c r="S7" s="110">
        <f t="shared" ref="S7:S48" si="3">P7/(M8-M7)</f>
        <v>0.99999999999992362</v>
      </c>
    </row>
    <row r="8" spans="1:19" x14ac:dyDescent="0.25">
      <c r="A8">
        <f>A7+1</f>
        <v>19</v>
      </c>
      <c r="B8" s="2">
        <f t="shared" si="0"/>
        <v>5.8484974332518682</v>
      </c>
      <c r="C8" s="2">
        <f t="shared" si="0"/>
        <v>5.8203605872844753</v>
      </c>
      <c r="D8" s="2">
        <f t="shared" si="0"/>
        <v>5.8766342792192594</v>
      </c>
      <c r="E8" s="1">
        <f t="shared" si="1"/>
        <v>3.1432934025368925E-2</v>
      </c>
      <c r="F8" s="1">
        <f t="shared" si="1"/>
        <v>3.1263769365256204E-2</v>
      </c>
      <c r="G8" s="1">
        <f t="shared" si="1"/>
        <v>3.1566040624845144E-2</v>
      </c>
      <c r="H8" s="1">
        <f t="shared" ref="H8:J48" si="4">E8/(B9-B8)</f>
        <v>0.97731742321678383</v>
      </c>
      <c r="I8" s="1">
        <f t="shared" si="2"/>
        <v>0.97675686194560296</v>
      </c>
      <c r="J8" s="1">
        <f t="shared" si="2"/>
        <v>0.97675686194560618</v>
      </c>
      <c r="K8" s="2">
        <f>Nursery!B3</f>
        <v>5.6560000000000006</v>
      </c>
      <c r="L8" s="111">
        <f t="shared" ref="L8:L48" si="5">K8*L$5</f>
        <v>5.5718669397736305</v>
      </c>
      <c r="M8" s="111">
        <f t="shared" ref="M8:M48" si="6">$K8*M$5</f>
        <v>5.7401330602263707</v>
      </c>
      <c r="N8" s="110">
        <f>Nursery!D3</f>
        <v>3.1414904995050674E-2</v>
      </c>
      <c r="O8" s="110">
        <f t="shared" ref="O8:P48" si="7">$N8*O$5</f>
        <v>3.0947607948736248E-2</v>
      </c>
      <c r="P8" s="110">
        <f t="shared" si="7"/>
        <v>3.1882202041365097E-2</v>
      </c>
      <c r="Q8" s="110">
        <f t="shared" ref="Q8:R48" si="8">N8/(K9-K8)</f>
        <v>1.01</v>
      </c>
      <c r="R8" s="110">
        <f t="shared" si="8"/>
        <v>1.0099999999999791</v>
      </c>
      <c r="S8" s="110">
        <f t="shared" si="3"/>
        <v>1.0099999999999916</v>
      </c>
    </row>
    <row r="9" spans="1:19" x14ac:dyDescent="0.25">
      <c r="A9">
        <f>Nursery!A4</f>
        <v>20</v>
      </c>
      <c r="B9" s="2">
        <f t="shared" si="0"/>
        <v>5.8806598947803952</v>
      </c>
      <c r="C9" s="2">
        <f t="shared" si="0"/>
        <v>5.8523683167238998</v>
      </c>
      <c r="D9" s="2">
        <f t="shared" si="0"/>
        <v>5.9089514728368897</v>
      </c>
      <c r="E9" s="1">
        <f t="shared" si="1"/>
        <v>5.5875635455258449E-2</v>
      </c>
      <c r="F9" s="1">
        <f t="shared" si="1"/>
        <v>5.557492592325159E-2</v>
      </c>
      <c r="G9" s="1">
        <f t="shared" si="1"/>
        <v>5.6112247660247645E-2</v>
      </c>
      <c r="H9" s="1">
        <f t="shared" si="4"/>
        <v>0.98699383334762048</v>
      </c>
      <c r="I9" s="1">
        <f t="shared" si="2"/>
        <v>0.98642772196485839</v>
      </c>
      <c r="J9" s="1">
        <f t="shared" si="2"/>
        <v>0.98642772196485973</v>
      </c>
      <c r="K9" s="2">
        <f>Nursery!B4</f>
        <v>5.6871038663317339</v>
      </c>
      <c r="L9" s="111">
        <f t="shared" si="5"/>
        <v>5.6025081357624789</v>
      </c>
      <c r="M9" s="111">
        <f t="shared" si="6"/>
        <v>5.7716995969009899</v>
      </c>
      <c r="N9" s="110">
        <f>Nursery!D4</f>
        <v>5.5843586791749618E-2</v>
      </c>
      <c r="O9" s="110">
        <f t="shared" si="7"/>
        <v>5.5012912843587142E-2</v>
      </c>
      <c r="P9" s="110">
        <f t="shared" si="7"/>
        <v>5.6674260739912094E-2</v>
      </c>
      <c r="Q9" s="110">
        <f t="shared" si="8"/>
        <v>1.02</v>
      </c>
      <c r="R9" s="110">
        <f t="shared" si="8"/>
        <v>1.0199999999999996</v>
      </c>
      <c r="S9" s="110">
        <f t="shared" si="3"/>
        <v>1.0200000000000005</v>
      </c>
    </row>
    <row r="10" spans="1:19" x14ac:dyDescent="0.25">
      <c r="A10">
        <f t="shared" ref="A10" si="9">A9+1</f>
        <v>21</v>
      </c>
      <c r="B10" s="2">
        <f t="shared" si="0"/>
        <v>5.9372718345589277</v>
      </c>
      <c r="C10" s="2">
        <f t="shared" si="0"/>
        <v>5.9087078991238675</v>
      </c>
      <c r="D10" s="2">
        <f t="shared" si="0"/>
        <v>5.965835769993987</v>
      </c>
      <c r="E10" s="1">
        <f t="shared" si="1"/>
        <v>8.0544805209880596E-2</v>
      </c>
      <c r="F10" s="1">
        <f t="shared" si="1"/>
        <v>8.0111332006705283E-2</v>
      </c>
      <c r="G10" s="1">
        <f t="shared" si="1"/>
        <v>8.0885882028172817E-2</v>
      </c>
      <c r="H10" s="1">
        <f t="shared" si="4"/>
        <v>0.9966702434784902</v>
      </c>
      <c r="I10" s="1">
        <f t="shared" si="2"/>
        <v>0.99609858198413248</v>
      </c>
      <c r="J10" s="1">
        <f t="shared" si="2"/>
        <v>0.99609858198413381</v>
      </c>
      <c r="K10" s="2">
        <f>Nursery!B5</f>
        <v>5.7418524808334492</v>
      </c>
      <c r="L10" s="111">
        <f t="shared" si="5"/>
        <v>5.6564423640405055</v>
      </c>
      <c r="M10" s="111">
        <f t="shared" si="6"/>
        <v>5.8272625976263939</v>
      </c>
      <c r="N10" s="110">
        <f>Nursery!D5</f>
        <v>8.049860701743905E-2</v>
      </c>
      <c r="O10" s="110">
        <f t="shared" si="7"/>
        <v>7.9301189380887177E-2</v>
      </c>
      <c r="P10" s="110">
        <f t="shared" si="7"/>
        <v>8.1696024653990909E-2</v>
      </c>
      <c r="Q10" s="110">
        <f t="shared" si="8"/>
        <v>1.03</v>
      </c>
      <c r="R10" s="110">
        <f t="shared" si="8"/>
        <v>1.0299999999999965</v>
      </c>
      <c r="S10" s="110">
        <f t="shared" si="3"/>
        <v>1.0300000000000034</v>
      </c>
    </row>
    <row r="11" spans="1:19" x14ac:dyDescent="0.25">
      <c r="A11">
        <f>Nursery!A6</f>
        <v>22</v>
      </c>
      <c r="B11" s="2">
        <f t="shared" si="0"/>
        <v>6.0180857303653985</v>
      </c>
      <c r="C11" s="2">
        <f t="shared" si="0"/>
        <v>5.9891330030800756</v>
      </c>
      <c r="D11" s="2">
        <f t="shared" si="0"/>
        <v>6.0470384576507206</v>
      </c>
      <c r="E11" s="1">
        <f t="shared" si="1"/>
        <v>0.1051159427564816</v>
      </c>
      <c r="F11" s="1">
        <f t="shared" si="1"/>
        <v>0.10455023346843115</v>
      </c>
      <c r="G11" s="1">
        <f t="shared" si="1"/>
        <v>0.10556106905871479</v>
      </c>
      <c r="H11" s="1">
        <f t="shared" si="4"/>
        <v>1.0063466536093399</v>
      </c>
      <c r="I11" s="1">
        <f t="shared" si="2"/>
        <v>1.0057694420033896</v>
      </c>
      <c r="J11" s="1">
        <f t="shared" si="2"/>
        <v>1.0057694420033847</v>
      </c>
      <c r="K11" s="2">
        <f>Nursery!B6</f>
        <v>5.8200064682290211</v>
      </c>
      <c r="L11" s="111">
        <f t="shared" si="5"/>
        <v>5.7334338100413671</v>
      </c>
      <c r="M11" s="111">
        <f t="shared" si="6"/>
        <v>5.906579126416676</v>
      </c>
      <c r="N11" s="110">
        <f>Nursery!D6</f>
        <v>0.10505565126357297</v>
      </c>
      <c r="O11" s="110">
        <f t="shared" si="7"/>
        <v>0.10349294733237087</v>
      </c>
      <c r="P11" s="110">
        <f t="shared" si="7"/>
        <v>0.10661835519477506</v>
      </c>
      <c r="Q11" s="110">
        <f t="shared" si="8"/>
        <v>1.04</v>
      </c>
      <c r="R11" s="110">
        <f t="shared" si="8"/>
        <v>1.0400000000000056</v>
      </c>
      <c r="S11" s="110">
        <f t="shared" si="3"/>
        <v>1.0400000000000034</v>
      </c>
    </row>
    <row r="12" spans="1:19" x14ac:dyDescent="0.25">
      <c r="A12">
        <f t="shared" ref="A12" si="10">A11+1</f>
        <v>23</v>
      </c>
      <c r="B12" s="2">
        <f t="shared" si="0"/>
        <v>6.1225387460131131</v>
      </c>
      <c r="C12" s="2">
        <f t="shared" si="0"/>
        <v>6.0930835001842407</v>
      </c>
      <c r="D12" s="2">
        <f t="shared" si="0"/>
        <v>6.1519939918419846</v>
      </c>
      <c r="E12" s="1">
        <f t="shared" si="1"/>
        <v>0.12957270939372367</v>
      </c>
      <c r="F12" s="1">
        <f t="shared" si="1"/>
        <v>0.12887537953814024</v>
      </c>
      <c r="G12" s="1">
        <f t="shared" si="1"/>
        <v>0.13012140086230881</v>
      </c>
      <c r="H12" s="1">
        <f t="shared" si="4"/>
        <v>1.0160230637402086</v>
      </c>
      <c r="I12" s="1">
        <f t="shared" si="2"/>
        <v>1.0154403020226597</v>
      </c>
      <c r="J12" s="1">
        <f t="shared" si="2"/>
        <v>1.0154403020226603</v>
      </c>
      <c r="K12" s="2">
        <f>Nursery!B7</f>
        <v>5.9210215175209182</v>
      </c>
      <c r="L12" s="111">
        <f t="shared" si="5"/>
        <v>5.8329462593994155</v>
      </c>
      <c r="M12" s="111">
        <f t="shared" si="6"/>
        <v>6.009096775642421</v>
      </c>
      <c r="N12" s="110">
        <f>Nursery!D7</f>
        <v>0.12949839020022452</v>
      </c>
      <c r="O12" s="110">
        <f t="shared" si="7"/>
        <v>0.12757210026706789</v>
      </c>
      <c r="P12" s="110">
        <f t="shared" si="7"/>
        <v>0.13142468013338113</v>
      </c>
      <c r="Q12" s="110">
        <f t="shared" si="8"/>
        <v>1.05</v>
      </c>
      <c r="R12" s="110">
        <f t="shared" si="8"/>
        <v>1.049999999999998</v>
      </c>
      <c r="S12" s="110">
        <f t="shared" si="3"/>
        <v>1.0499999999999945</v>
      </c>
    </row>
    <row r="13" spans="1:19" x14ac:dyDescent="0.25">
      <c r="A13" s="112">
        <f>Nursery!A8</f>
        <v>24</v>
      </c>
      <c r="B13" s="2">
        <f t="shared" si="0"/>
        <v>6.2500680453153725</v>
      </c>
      <c r="C13" s="2">
        <f t="shared" si="0"/>
        <v>6.2199992620280762</v>
      </c>
      <c r="D13" s="2">
        <f t="shared" si="0"/>
        <v>6.280136828602668</v>
      </c>
      <c r="E13" s="1">
        <f t="shared" si="1"/>
        <v>0.15389876642027173</v>
      </c>
      <c r="F13" s="1">
        <f t="shared" si="1"/>
        <v>0.15307051944554642</v>
      </c>
      <c r="G13" s="1">
        <f t="shared" si="1"/>
        <v>0.15455046954939275</v>
      </c>
      <c r="H13" s="1">
        <f t="shared" si="4"/>
        <v>1.0256994738710576</v>
      </c>
      <c r="I13" s="1">
        <f t="shared" si="2"/>
        <v>1.0251111620419195</v>
      </c>
      <c r="J13" s="1">
        <f t="shared" si="2"/>
        <v>1.0251111620419133</v>
      </c>
      <c r="K13" s="2">
        <f>Nursery!B8</f>
        <v>6.0443533177116082</v>
      </c>
      <c r="L13" s="111">
        <f t="shared" si="5"/>
        <v>5.9544434977490042</v>
      </c>
      <c r="M13" s="111">
        <f t="shared" si="6"/>
        <v>6.1342631376742132</v>
      </c>
      <c r="N13" s="110">
        <f>Nursery!D8</f>
        <v>0.15381049449746959</v>
      </c>
      <c r="O13" s="110">
        <f t="shared" si="7"/>
        <v>0.15152256175401063</v>
      </c>
      <c r="P13" s="110">
        <f t="shared" si="7"/>
        <v>0.15609842724092854</v>
      </c>
      <c r="Q13" s="110">
        <f t="shared" si="8"/>
        <v>1.06</v>
      </c>
      <c r="R13" s="110">
        <f t="shared" si="8"/>
        <v>1.0600000000000003</v>
      </c>
      <c r="S13" s="110">
        <f t="shared" si="3"/>
        <v>1.0599999999999998</v>
      </c>
    </row>
    <row r="14" spans="1:19" x14ac:dyDescent="0.25">
      <c r="A14">
        <f t="shared" ref="A14" si="11">A13+1</f>
        <v>25</v>
      </c>
      <c r="B14" s="2">
        <f t="shared" si="0"/>
        <v>6.4001107920854841</v>
      </c>
      <c r="C14" s="2">
        <f t="shared" si="0"/>
        <v>6.3693201602032996</v>
      </c>
      <c r="D14" s="2">
        <f t="shared" si="0"/>
        <v>6.4309014239676667</v>
      </c>
      <c r="E14" s="1">
        <f t="shared" si="1"/>
        <v>0.17974205340707483</v>
      </c>
      <c r="F14" s="1">
        <f t="shared" si="1"/>
        <v>0.17877472393830712</v>
      </c>
      <c r="G14" s="1">
        <f t="shared" si="1"/>
        <v>0.18050319309236734</v>
      </c>
      <c r="H14" s="1">
        <f t="shared" si="4"/>
        <v>1.0450522941327856</v>
      </c>
      <c r="I14" s="1">
        <f t="shared" si="2"/>
        <v>1.0444528820804464</v>
      </c>
      <c r="J14" s="1">
        <f t="shared" si="2"/>
        <v>1.044452882080448</v>
      </c>
      <c r="K14" s="2">
        <f>Nursery!B9</f>
        <v>6.1894575578035607</v>
      </c>
      <c r="L14" s="111">
        <f t="shared" si="5"/>
        <v>6.0973893107244859</v>
      </c>
      <c r="M14" s="111">
        <f t="shared" si="6"/>
        <v>6.2815258048826363</v>
      </c>
      <c r="N14" s="110">
        <f>Nursery!D9</f>
        <v>0.17963895851533723</v>
      </c>
      <c r="O14" s="110">
        <f t="shared" si="7"/>
        <v>0.17696682709458514</v>
      </c>
      <c r="P14" s="110">
        <f t="shared" si="7"/>
        <v>0.1823110899360893</v>
      </c>
      <c r="Q14" s="110">
        <f t="shared" si="8"/>
        <v>1.08</v>
      </c>
      <c r="R14" s="110">
        <f t="shared" si="8"/>
        <v>1.0799999999999974</v>
      </c>
      <c r="S14" s="110">
        <f t="shared" si="3"/>
        <v>1.0800000000000027</v>
      </c>
    </row>
    <row r="15" spans="1:19" x14ac:dyDescent="0.25">
      <c r="A15">
        <f>Nursery!A10</f>
        <v>26</v>
      </c>
      <c r="B15" s="2">
        <f t="shared" si="0"/>
        <v>6.5721041501367479</v>
      </c>
      <c r="C15" s="2">
        <f t="shared" si="0"/>
        <v>6.5404860663016251</v>
      </c>
      <c r="D15" s="2">
        <f t="shared" si="0"/>
        <v>6.6037222339718697</v>
      </c>
      <c r="E15" s="1">
        <f t="shared" si="1"/>
        <v>0.20475640092007949</v>
      </c>
      <c r="F15" s="1">
        <f t="shared" si="1"/>
        <v>0.2036544501146092</v>
      </c>
      <c r="G15" s="1">
        <f t="shared" si="1"/>
        <v>0.20562346691606526</v>
      </c>
      <c r="H15" s="1">
        <f t="shared" si="4"/>
        <v>1.0588230485017645</v>
      </c>
      <c r="I15" s="1">
        <f t="shared" si="2"/>
        <v>1.0582157379392927</v>
      </c>
      <c r="J15" s="1">
        <f t="shared" si="2"/>
        <v>1.0582157379392918</v>
      </c>
      <c r="K15" s="2">
        <f>Nursery!B10</f>
        <v>6.3557899267992433</v>
      </c>
      <c r="L15" s="111">
        <f t="shared" si="5"/>
        <v>6.2612474839602132</v>
      </c>
      <c r="M15" s="111">
        <f t="shared" si="6"/>
        <v>6.4503323696382742</v>
      </c>
      <c r="N15" s="110">
        <f>Nursery!D10</f>
        <v>0.20463895851533723</v>
      </c>
      <c r="O15" s="110">
        <f t="shared" si="7"/>
        <v>0.20159495182837944</v>
      </c>
      <c r="P15" s="110">
        <f t="shared" si="7"/>
        <v>0.20768296520229498</v>
      </c>
      <c r="Q15" s="110">
        <f t="shared" si="8"/>
        <v>1.0942312636429792</v>
      </c>
      <c r="R15" s="110">
        <f t="shared" si="8"/>
        <v>1.0942312636429803</v>
      </c>
      <c r="S15" s="110">
        <f t="shared" si="3"/>
        <v>1.0942312636429781</v>
      </c>
    </row>
    <row r="16" spans="1:19" x14ac:dyDescent="0.25">
      <c r="A16">
        <f t="shared" ref="A16" si="12">A15+1</f>
        <v>27</v>
      </c>
      <c r="B16" s="2">
        <f t="shared" si="0"/>
        <v>6.7654852832824703</v>
      </c>
      <c r="C16" s="2">
        <f t="shared" si="0"/>
        <v>6.7329368519147685</v>
      </c>
      <c r="D16" s="2">
        <f t="shared" si="0"/>
        <v>6.7980337146501713</v>
      </c>
      <c r="E16" s="1">
        <f t="shared" si="1"/>
        <v>0.22977074843308412</v>
      </c>
      <c r="F16" s="1">
        <f t="shared" si="1"/>
        <v>0.22853417629091127</v>
      </c>
      <c r="G16" s="1">
        <f t="shared" si="1"/>
        <v>0.23074374073976317</v>
      </c>
      <c r="H16" s="1">
        <f t="shared" si="4"/>
        <v>1.0726621623298984</v>
      </c>
      <c r="I16" s="1">
        <f t="shared" si="2"/>
        <v>1.0720469140482676</v>
      </c>
      <c r="J16" s="1">
        <f t="shared" si="2"/>
        <v>1.0720469140482616</v>
      </c>
      <c r="K16" s="2">
        <f>Nursery!B11</f>
        <v>6.5428061137011246</v>
      </c>
      <c r="L16" s="111">
        <f t="shared" si="5"/>
        <v>6.4454818030905381</v>
      </c>
      <c r="M16" s="111">
        <f t="shared" si="6"/>
        <v>6.6401304243117121</v>
      </c>
      <c r="N16" s="110">
        <f>Nursery!D11</f>
        <v>0.22963895851533722</v>
      </c>
      <c r="O16" s="110">
        <f t="shared" si="7"/>
        <v>0.22622307656217375</v>
      </c>
      <c r="P16" s="110">
        <f t="shared" si="7"/>
        <v>0.23305484046850067</v>
      </c>
      <c r="Q16" s="110">
        <f t="shared" si="8"/>
        <v>1.1085331727611127</v>
      </c>
      <c r="R16" s="110">
        <f t="shared" si="8"/>
        <v>1.108533172761113</v>
      </c>
      <c r="S16" s="110">
        <f t="shared" si="3"/>
        <v>1.108533172761117</v>
      </c>
    </row>
    <row r="17" spans="1:19" x14ac:dyDescent="0.25">
      <c r="A17">
        <f>Nursery!A12</f>
        <v>28</v>
      </c>
      <c r="B17" s="2">
        <f t="shared" si="0"/>
        <v>6.9796913553359543</v>
      </c>
      <c r="C17" s="2">
        <f t="shared" si="0"/>
        <v>6.946112388634444</v>
      </c>
      <c r="D17" s="2">
        <f t="shared" si="0"/>
        <v>7.0132703220374628</v>
      </c>
      <c r="E17" s="1">
        <f t="shared" si="1"/>
        <v>0.25478509594608878</v>
      </c>
      <c r="F17" s="1">
        <f t="shared" si="1"/>
        <v>0.25341390246721335</v>
      </c>
      <c r="G17" s="1">
        <f t="shared" si="1"/>
        <v>0.25586401456346114</v>
      </c>
      <c r="H17" s="1">
        <f t="shared" si="4"/>
        <v>1.0866510825662168</v>
      </c>
      <c r="I17" s="1">
        <f t="shared" si="2"/>
        <v>1.0860278106407519</v>
      </c>
      <c r="J17" s="1">
        <f t="shared" si="2"/>
        <v>1.0860278106407555</v>
      </c>
      <c r="K17" s="2">
        <f>Nursery!B12</f>
        <v>6.7499618075116734</v>
      </c>
      <c r="L17" s="111">
        <f t="shared" si="5"/>
        <v>6.649556053749814</v>
      </c>
      <c r="M17" s="111">
        <f t="shared" si="6"/>
        <v>6.8503675612735329</v>
      </c>
      <c r="N17" s="110">
        <f>Nursery!D12</f>
        <v>0.25463895851533724</v>
      </c>
      <c r="O17" s="110">
        <f t="shared" si="7"/>
        <v>0.25085120129596811</v>
      </c>
      <c r="P17" s="110">
        <f t="shared" si="7"/>
        <v>0.25842671573470638</v>
      </c>
      <c r="Q17" s="110">
        <f t="shared" si="8"/>
        <v>1.1229898979795954</v>
      </c>
      <c r="R17" s="110">
        <f t="shared" si="8"/>
        <v>1.1229898979795916</v>
      </c>
      <c r="S17" s="110">
        <f t="shared" si="3"/>
        <v>1.1229898979795945</v>
      </c>
    </row>
    <row r="18" spans="1:19" x14ac:dyDescent="0.25">
      <c r="A18">
        <f t="shared" ref="A18" si="13">A17+1</f>
        <v>29</v>
      </c>
      <c r="B18" s="2">
        <f t="shared" si="0"/>
        <v>7.2141595301105035</v>
      </c>
      <c r="C18" s="2">
        <f t="shared" si="0"/>
        <v>7.1794525480523692</v>
      </c>
      <c r="D18" s="2">
        <f t="shared" si="0"/>
        <v>7.248866512168636</v>
      </c>
      <c r="E18" s="1">
        <f t="shared" si="1"/>
        <v>0.27979944345909347</v>
      </c>
      <c r="F18" s="1">
        <f t="shared" si="1"/>
        <v>0.27829362864351548</v>
      </c>
      <c r="G18" s="1">
        <f t="shared" si="1"/>
        <v>0.28098428838715905</v>
      </c>
      <c r="H18" s="1">
        <f t="shared" si="4"/>
        <v>1.1008469142159791</v>
      </c>
      <c r="I18" s="1">
        <f t="shared" si="2"/>
        <v>1.1002154999682323</v>
      </c>
      <c r="J18" s="1">
        <f t="shared" si="2"/>
        <v>1.1002154999682292</v>
      </c>
      <c r="K18" s="2">
        <f>Nursery!B13</f>
        <v>6.9767126972333582</v>
      </c>
      <c r="L18" s="111">
        <f t="shared" si="5"/>
        <v>6.8729340215723944</v>
      </c>
      <c r="M18" s="111">
        <f t="shared" si="6"/>
        <v>7.0804913728943228</v>
      </c>
      <c r="N18" s="110">
        <f>Nursery!D13</f>
        <v>0.27963895851533727</v>
      </c>
      <c r="O18" s="110">
        <f t="shared" si="7"/>
        <v>0.27547932602976244</v>
      </c>
      <c r="P18" s="110">
        <f t="shared" si="7"/>
        <v>0.28379859100091204</v>
      </c>
      <c r="Q18" s="110">
        <f t="shared" si="8"/>
        <v>1.1376604539582966</v>
      </c>
      <c r="R18" s="110">
        <f t="shared" si="8"/>
        <v>1.1376604539582984</v>
      </c>
      <c r="S18" s="110">
        <f t="shared" si="3"/>
        <v>1.1376604539582946</v>
      </c>
    </row>
    <row r="19" spans="1:19" x14ac:dyDescent="0.25">
      <c r="A19">
        <f>Nursery!A14</f>
        <v>30</v>
      </c>
      <c r="B19" s="2">
        <f t="shared" si="0"/>
        <v>7.4683269714194216</v>
      </c>
      <c r="C19" s="2">
        <f t="shared" si="0"/>
        <v>7.4323972017602573</v>
      </c>
      <c r="D19" s="2">
        <f t="shared" si="0"/>
        <v>7.5042567410785841</v>
      </c>
      <c r="E19" s="1">
        <f t="shared" si="1"/>
        <v>0.30481379097209815</v>
      </c>
      <c r="F19" s="1">
        <f t="shared" si="1"/>
        <v>0.30317335481981755</v>
      </c>
      <c r="G19" s="1">
        <f t="shared" si="1"/>
        <v>0.30610456221085702</v>
      </c>
      <c r="H19" s="1">
        <f t="shared" si="4"/>
        <v>1.1152926196197468</v>
      </c>
      <c r="I19" s="1">
        <f t="shared" si="2"/>
        <v>1.1146529197292891</v>
      </c>
      <c r="J19" s="1">
        <f t="shared" si="2"/>
        <v>1.1146529197292854</v>
      </c>
      <c r="K19" s="2">
        <f>Nursery!B14</f>
        <v>7.2225144718686467</v>
      </c>
      <c r="L19" s="111">
        <f t="shared" si="5"/>
        <v>7.1150794921926295</v>
      </c>
      <c r="M19" s="111">
        <f t="shared" si="6"/>
        <v>7.3299494515446648</v>
      </c>
      <c r="N19" s="110">
        <f>Nursery!D14</f>
        <v>0.30463895851533729</v>
      </c>
      <c r="O19" s="110">
        <f t="shared" si="7"/>
        <v>0.30010745076355677</v>
      </c>
      <c r="P19" s="110">
        <f t="shared" si="7"/>
        <v>0.30917046626711775</v>
      </c>
      <c r="Q19" s="110">
        <f t="shared" si="8"/>
        <v>1.1525892397460094</v>
      </c>
      <c r="R19" s="110">
        <f t="shared" si="8"/>
        <v>1.1525892397460087</v>
      </c>
      <c r="S19" s="110">
        <f t="shared" si="3"/>
        <v>1.1525892397460133</v>
      </c>
    </row>
    <row r="20" spans="1:19" x14ac:dyDescent="0.25">
      <c r="A20">
        <f t="shared" ref="A20" si="14">A19+1</f>
        <v>31</v>
      </c>
      <c r="B20" s="2">
        <f t="shared" si="0"/>
        <v>7.7416308430760123</v>
      </c>
      <c r="C20" s="2">
        <f t="shared" si="0"/>
        <v>7.7043862213498242</v>
      </c>
      <c r="D20" s="2">
        <f t="shared" si="0"/>
        <v>7.7788754648021987</v>
      </c>
      <c r="E20" s="1">
        <f t="shared" si="1"/>
        <v>0.32982813848510278</v>
      </c>
      <c r="F20" s="1">
        <f t="shared" si="1"/>
        <v>0.32805308099611968</v>
      </c>
      <c r="G20" s="1">
        <f t="shared" si="1"/>
        <v>0.33122483603455494</v>
      </c>
      <c r="H20" s="1">
        <f t="shared" si="4"/>
        <v>1.1300226194620144</v>
      </c>
      <c r="I20" s="1">
        <f t="shared" si="2"/>
        <v>1.1293744708657001</v>
      </c>
      <c r="J20" s="1">
        <f t="shared" si="2"/>
        <v>1.1293744708656999</v>
      </c>
      <c r="K20" s="2">
        <f>Nursery!B15</f>
        <v>7.4868228204200085</v>
      </c>
      <c r="L20" s="111">
        <f t="shared" si="5"/>
        <v>7.3754562512448745</v>
      </c>
      <c r="M20" s="111">
        <f t="shared" si="6"/>
        <v>7.5981893895951425</v>
      </c>
      <c r="N20" s="110">
        <f>Nursery!D15</f>
        <v>0.32963895851533731</v>
      </c>
      <c r="O20" s="110">
        <f t="shared" si="7"/>
        <v>0.3247355754973511</v>
      </c>
      <c r="P20" s="110">
        <f t="shared" si="7"/>
        <v>0.33454234153332346</v>
      </c>
      <c r="Q20" s="110">
        <f t="shared" si="8"/>
        <v>1.1678118270930384</v>
      </c>
      <c r="R20" s="110">
        <f t="shared" si="8"/>
        <v>1.1678118270930364</v>
      </c>
      <c r="S20" s="110">
        <f t="shared" si="3"/>
        <v>1.1678118270930364</v>
      </c>
    </row>
    <row r="21" spans="1:19" x14ac:dyDescent="0.25">
      <c r="A21">
        <f>Nursery!A16</f>
        <v>32</v>
      </c>
      <c r="B21" s="2">
        <f t="shared" si="0"/>
        <v>8.0335083088935804</v>
      </c>
      <c r="C21" s="2">
        <f t="shared" si="0"/>
        <v>7.9948594784127867</v>
      </c>
      <c r="D21" s="2">
        <f t="shared" si="0"/>
        <v>8.0721571393743723</v>
      </c>
      <c r="E21" s="1">
        <f t="shared" si="1"/>
        <v>0.35484248599810747</v>
      </c>
      <c r="F21" s="1">
        <f t="shared" si="1"/>
        <v>0.35293280717242176</v>
      </c>
      <c r="G21" s="1">
        <f t="shared" si="1"/>
        <v>0.35634510985825291</v>
      </c>
      <c r="H21" s="1">
        <f t="shared" si="4"/>
        <v>1.1450660552898426</v>
      </c>
      <c r="I21" s="1">
        <f t="shared" si="2"/>
        <v>1.1444092782097752</v>
      </c>
      <c r="J21" s="1">
        <f t="shared" si="2"/>
        <v>1.1444092782097699</v>
      </c>
      <c r="K21" s="2">
        <f>Nursery!B16</f>
        <v>7.7690934318899121</v>
      </c>
      <c r="L21" s="111">
        <f t="shared" si="5"/>
        <v>7.6535280843634821</v>
      </c>
      <c r="M21" s="111">
        <f t="shared" si="6"/>
        <v>7.884658779416343</v>
      </c>
      <c r="N21" s="110">
        <f>Nursery!D16</f>
        <v>0.35463895851533733</v>
      </c>
      <c r="O21" s="110">
        <f t="shared" si="7"/>
        <v>0.34936370023114544</v>
      </c>
      <c r="P21" s="110">
        <f t="shared" si="7"/>
        <v>0.35991421679952917</v>
      </c>
      <c r="Q21" s="110">
        <f t="shared" si="8"/>
        <v>1.1833583320720451</v>
      </c>
      <c r="R21" s="110">
        <f t="shared" si="8"/>
        <v>1.1833583320720427</v>
      </c>
      <c r="S21" s="110">
        <f t="shared" si="3"/>
        <v>1.1833583320720436</v>
      </c>
    </row>
    <row r="22" spans="1:19" x14ac:dyDescent="0.25">
      <c r="A22">
        <f t="shared" ref="A22" si="15">A21+1</f>
        <v>33</v>
      </c>
      <c r="B22" s="2">
        <f t="shared" si="0"/>
        <v>8.3433965326854285</v>
      </c>
      <c r="C22" s="2">
        <f t="shared" si="0"/>
        <v>8.3032568445408579</v>
      </c>
      <c r="D22" s="2">
        <f t="shared" si="0"/>
        <v>8.3835362208299973</v>
      </c>
      <c r="E22" s="1">
        <f t="shared" si="1"/>
        <v>0.37985683351111216</v>
      </c>
      <c r="F22" s="1">
        <f t="shared" si="1"/>
        <v>0.37781253334872383</v>
      </c>
      <c r="G22" s="1">
        <f t="shared" si="1"/>
        <v>0.38146538368195088</v>
      </c>
      <c r="H22" s="1">
        <f t="shared" si="4"/>
        <v>1.1604487883203705</v>
      </c>
      <c r="I22" s="1">
        <f t="shared" si="2"/>
        <v>1.1597831881453877</v>
      </c>
      <c r="J22" s="1">
        <f t="shared" si="2"/>
        <v>1.1597831881453942</v>
      </c>
      <c r="K22" s="2">
        <f>Nursery!B17</f>
        <v>8.0687819952808244</v>
      </c>
      <c r="L22" s="111">
        <f t="shared" si="5"/>
        <v>7.9487587771828032</v>
      </c>
      <c r="M22" s="111">
        <f t="shared" si="6"/>
        <v>8.1888052133788474</v>
      </c>
      <c r="N22" s="110">
        <f>Nursery!D17</f>
        <v>0.37963895851533735</v>
      </c>
      <c r="O22" s="110">
        <f t="shared" si="7"/>
        <v>0.37399182496493982</v>
      </c>
      <c r="P22" s="110">
        <f t="shared" si="7"/>
        <v>0.38528609206573489</v>
      </c>
      <c r="Q22" s="110">
        <f t="shared" si="8"/>
        <v>1.1992554807278977</v>
      </c>
      <c r="R22" s="110">
        <f t="shared" si="8"/>
        <v>1.199255480727899</v>
      </c>
      <c r="S22" s="110">
        <f t="shared" si="3"/>
        <v>1.1992554807279028</v>
      </c>
    </row>
    <row r="23" spans="1:19" x14ac:dyDescent="0.25">
      <c r="A23">
        <f>Nursery!A18</f>
        <v>34</v>
      </c>
      <c r="B23" s="2">
        <f t="shared" si="0"/>
        <v>8.6707326782648604</v>
      </c>
      <c r="C23" s="2">
        <f t="shared" si="0"/>
        <v>8.6290181913257555</v>
      </c>
      <c r="D23" s="2">
        <f t="shared" si="0"/>
        <v>8.7124471652039635</v>
      </c>
      <c r="E23" s="1">
        <f t="shared" si="1"/>
        <v>0.40487118102411679</v>
      </c>
      <c r="F23" s="1">
        <f t="shared" si="1"/>
        <v>0.40269225952502596</v>
      </c>
      <c r="G23" s="1">
        <f t="shared" si="1"/>
        <v>0.40658565750564879</v>
      </c>
      <c r="H23" s="1">
        <f t="shared" si="4"/>
        <v>1.1761946804844963</v>
      </c>
      <c r="I23" s="1">
        <f t="shared" si="4"/>
        <v>1.1755200489169417</v>
      </c>
      <c r="J23" s="1">
        <f t="shared" si="4"/>
        <v>1.1755200489169324</v>
      </c>
      <c r="K23" s="2">
        <f>Nursery!B18</f>
        <v>8.3853441995952149</v>
      </c>
      <c r="L23" s="111">
        <f t="shared" si="5"/>
        <v>8.2606121153371905</v>
      </c>
      <c r="M23" s="111">
        <f t="shared" si="6"/>
        <v>8.5100762838532393</v>
      </c>
      <c r="N23" s="110">
        <f>Nursery!D18</f>
        <v>0.40463895851533738</v>
      </c>
      <c r="O23" s="110">
        <f t="shared" si="7"/>
        <v>0.39861994969873416</v>
      </c>
      <c r="P23" s="110">
        <f t="shared" si="7"/>
        <v>0.41065796733194054</v>
      </c>
      <c r="Q23" s="110">
        <f t="shared" si="8"/>
        <v>1.2155279329608923</v>
      </c>
      <c r="R23" s="110">
        <f t="shared" si="8"/>
        <v>1.2155279329608879</v>
      </c>
      <c r="S23" s="110">
        <f t="shared" si="3"/>
        <v>1.2155279329608901</v>
      </c>
    </row>
    <row r="24" spans="1:19" x14ac:dyDescent="0.25">
      <c r="A24">
        <f t="shared" ref="A24" si="16">A23+1</f>
        <v>35</v>
      </c>
      <c r="B24" s="2">
        <f t="shared" si="0"/>
        <v>9.0149539094451807</v>
      </c>
      <c r="C24" s="2">
        <f t="shared" si="0"/>
        <v>8.9715833903591911</v>
      </c>
      <c r="D24" s="2">
        <f t="shared" si="0"/>
        <v>9.0583244285311668</v>
      </c>
      <c r="E24" s="1">
        <f t="shared" si="1"/>
        <v>0.42988552853712148</v>
      </c>
      <c r="F24" s="1">
        <f t="shared" si="1"/>
        <v>0.42757198570132804</v>
      </c>
      <c r="G24" s="1">
        <f t="shared" si="1"/>
        <v>0.43170593132934676</v>
      </c>
      <c r="H24" s="1">
        <f t="shared" si="4"/>
        <v>1.1923264506912501</v>
      </c>
      <c r="I24" s="1">
        <f t="shared" si="4"/>
        <v>1.1916425664025143</v>
      </c>
      <c r="J24" s="1">
        <f t="shared" si="4"/>
        <v>1.1916425664025179</v>
      </c>
      <c r="K24" s="2">
        <f>Nursery!B19</f>
        <v>8.7182357338355523</v>
      </c>
      <c r="L24" s="111">
        <f t="shared" si="5"/>
        <v>8.5885518844609994</v>
      </c>
      <c r="M24" s="111">
        <f t="shared" si="6"/>
        <v>8.847919583210107</v>
      </c>
      <c r="N24" s="110">
        <f>Nursery!D19</f>
        <v>0.4296389585153374</v>
      </c>
      <c r="O24" s="110">
        <f t="shared" si="7"/>
        <v>0.42324807443252849</v>
      </c>
      <c r="P24" s="110">
        <f t="shared" si="7"/>
        <v>0.43602984259814626</v>
      </c>
      <c r="Q24" s="110">
        <f t="shared" si="8"/>
        <v>1.2321991674255268</v>
      </c>
      <c r="R24" s="110">
        <f t="shared" si="8"/>
        <v>1.2321991674255302</v>
      </c>
      <c r="S24" s="110">
        <f t="shared" si="3"/>
        <v>1.2321991674255295</v>
      </c>
    </row>
    <row r="25" spans="1:19" x14ac:dyDescent="0.25">
      <c r="A25">
        <f>Nursery!A20</f>
        <v>36</v>
      </c>
      <c r="B25" s="2">
        <f t="shared" si="0"/>
        <v>9.3754973900396905</v>
      </c>
      <c r="C25" s="2">
        <f t="shared" si="0"/>
        <v>9.330392313232883</v>
      </c>
      <c r="D25" s="2">
        <f t="shared" si="0"/>
        <v>9.4206024668464945</v>
      </c>
      <c r="E25" s="1">
        <f t="shared" si="1"/>
        <v>0.45489987605012616</v>
      </c>
      <c r="F25" s="1">
        <f t="shared" si="1"/>
        <v>0.45245171187763017</v>
      </c>
      <c r="G25" s="1">
        <f t="shared" si="1"/>
        <v>0.45682620515304467</v>
      </c>
      <c r="H25" s="1">
        <f t="shared" si="4"/>
        <v>1.2088662710770901</v>
      </c>
      <c r="I25" s="1">
        <f t="shared" si="4"/>
        <v>1.2081729000212924</v>
      </c>
      <c r="J25" s="1">
        <f t="shared" si="4"/>
        <v>1.2081729000212886</v>
      </c>
      <c r="K25" s="2">
        <f>Nursery!B20</f>
        <v>9.0669122870043033</v>
      </c>
      <c r="L25" s="111">
        <f t="shared" si="5"/>
        <v>8.9320418701885771</v>
      </c>
      <c r="M25" s="111">
        <f t="shared" si="6"/>
        <v>9.2017827038200295</v>
      </c>
      <c r="N25" s="110">
        <f>Nursery!D20</f>
        <v>0.45463895851533742</v>
      </c>
      <c r="O25" s="110">
        <f t="shared" si="7"/>
        <v>0.44787619916632282</v>
      </c>
      <c r="P25" s="110">
        <f t="shared" si="7"/>
        <v>0.46140171786435197</v>
      </c>
      <c r="Q25" s="110">
        <f t="shared" si="8"/>
        <v>1.2492920977190585</v>
      </c>
      <c r="R25" s="110">
        <f t="shared" si="8"/>
        <v>1.2492920977190574</v>
      </c>
      <c r="S25" s="110">
        <f t="shared" si="3"/>
        <v>1.2492920977190594</v>
      </c>
    </row>
    <row r="26" spans="1:19" x14ac:dyDescent="0.25">
      <c r="A26">
        <f t="shared" ref="A26" si="17">A25+1</f>
        <v>37</v>
      </c>
      <c r="B26" s="2">
        <f t="shared" si="0"/>
        <v>9.7518002838616962</v>
      </c>
      <c r="C26" s="2">
        <f t="shared" si="0"/>
        <v>9.7048848315385463</v>
      </c>
      <c r="D26" s="2">
        <f t="shared" si="0"/>
        <v>9.7987157361848443</v>
      </c>
      <c r="E26" s="1">
        <f t="shared" si="1"/>
        <v>0.47991422356313085</v>
      </c>
      <c r="F26" s="1">
        <f t="shared" si="1"/>
        <v>0.47733143805393224</v>
      </c>
      <c r="G26" s="1">
        <f t="shared" si="1"/>
        <v>0.48194647897674264</v>
      </c>
      <c r="H26" s="1">
        <f t="shared" si="4"/>
        <v>1.2258361997411436</v>
      </c>
      <c r="I26" s="1">
        <f t="shared" si="4"/>
        <v>1.2251330952205028</v>
      </c>
      <c r="J26" s="1">
        <f t="shared" si="4"/>
        <v>1.2251330952205017</v>
      </c>
      <c r="K26" s="2">
        <f>Nursery!B21</f>
        <v>9.4308295481039384</v>
      </c>
      <c r="L26" s="111">
        <f t="shared" si="5"/>
        <v>9.2905458581542817</v>
      </c>
      <c r="M26" s="111">
        <f t="shared" si="6"/>
        <v>9.571113238053595</v>
      </c>
      <c r="N26" s="110">
        <f>Nursery!D21</f>
        <v>0.47963895851533744</v>
      </c>
      <c r="O26" s="110">
        <f t="shared" si="7"/>
        <v>0.47250432390011715</v>
      </c>
      <c r="P26" s="110">
        <f t="shared" si="7"/>
        <v>0.48677359313055768</v>
      </c>
      <c r="Q26" s="110">
        <f t="shared" si="8"/>
        <v>1.2668295195878738</v>
      </c>
      <c r="R26" s="110">
        <f t="shared" si="8"/>
        <v>1.2668295195878692</v>
      </c>
      <c r="S26" s="110">
        <f t="shared" si="3"/>
        <v>1.2668295195878725</v>
      </c>
    </row>
    <row r="27" spans="1:19" x14ac:dyDescent="0.25">
      <c r="A27">
        <f>Nursery!A22</f>
        <v>38</v>
      </c>
      <c r="B27" s="2">
        <f t="shared" ref="B27:D48" si="18">$K27*B$5</f>
        <v>10.143299754724502</v>
      </c>
      <c r="C27" s="2">
        <f t="shared" si="18"/>
        <v>10.094500816867896</v>
      </c>
      <c r="D27" s="2">
        <f t="shared" si="18"/>
        <v>10.192098692581105</v>
      </c>
      <c r="E27" s="1">
        <f t="shared" ref="E27:G48" si="19">$N27*E$5</f>
        <v>0.50492857107613554</v>
      </c>
      <c r="F27" s="1">
        <f t="shared" si="19"/>
        <v>0.50221116423023437</v>
      </c>
      <c r="G27" s="1">
        <f t="shared" si="19"/>
        <v>0.50706675280044056</v>
      </c>
      <c r="H27" s="1">
        <f t="shared" si="4"/>
        <v>1.2432585085607146</v>
      </c>
      <c r="I27" s="1">
        <f t="shared" si="4"/>
        <v>1.2425454111029284</v>
      </c>
      <c r="J27" s="1">
        <f t="shared" si="4"/>
        <v>1.2425454111029275</v>
      </c>
      <c r="K27" s="2">
        <f>Nursery!B22</f>
        <v>9.8094432061369261</v>
      </c>
      <c r="L27" s="111">
        <f t="shared" si="5"/>
        <v>9.6635276339924658</v>
      </c>
      <c r="M27" s="111">
        <f t="shared" si="6"/>
        <v>9.9553587782813882</v>
      </c>
      <c r="N27" s="110">
        <f>Nursery!D22</f>
        <v>0.50463895851533747</v>
      </c>
      <c r="O27" s="110">
        <f t="shared" si="7"/>
        <v>0.49713244863391148</v>
      </c>
      <c r="P27" s="110">
        <f t="shared" si="7"/>
        <v>0.51214546839676334</v>
      </c>
      <c r="Q27" s="110">
        <f t="shared" si="8"/>
        <v>1.2848344497055093</v>
      </c>
      <c r="R27" s="110">
        <f t="shared" si="8"/>
        <v>1.2848344497055078</v>
      </c>
      <c r="S27" s="110">
        <f t="shared" si="3"/>
        <v>1.2848344497055106</v>
      </c>
    </row>
    <row r="28" spans="1:19" x14ac:dyDescent="0.25">
      <c r="A28">
        <f t="shared" ref="A28" si="20">A27+1</f>
        <v>39</v>
      </c>
      <c r="B28" s="2">
        <f t="shared" si="18"/>
        <v>10.54943296644141</v>
      </c>
      <c r="C28" s="2">
        <f t="shared" si="18"/>
        <v>10.498680140812647</v>
      </c>
      <c r="D28" s="2">
        <f t="shared" si="18"/>
        <v>10.600185792070169</v>
      </c>
      <c r="E28" s="1">
        <f t="shared" si="19"/>
        <v>0.52994291858914011</v>
      </c>
      <c r="F28" s="1">
        <f t="shared" si="19"/>
        <v>0.52709089040653645</v>
      </c>
      <c r="G28" s="1">
        <f t="shared" si="19"/>
        <v>0.53218702662413853</v>
      </c>
      <c r="H28" s="1">
        <f t="shared" si="4"/>
        <v>1.2611559428524559</v>
      </c>
      <c r="I28" s="1">
        <f t="shared" si="4"/>
        <v>1.2604325799391654</v>
      </c>
      <c r="J28" s="1">
        <f t="shared" si="4"/>
        <v>1.2604325799391634</v>
      </c>
      <c r="K28" s="2">
        <f>Nursery!B23</f>
        <v>10.202208950105733</v>
      </c>
      <c r="L28" s="111">
        <f t="shared" si="5"/>
        <v>10.050450983337479</v>
      </c>
      <c r="M28" s="111">
        <f t="shared" si="6"/>
        <v>10.35396691687399</v>
      </c>
      <c r="N28" s="110">
        <f>Nursery!D23</f>
        <v>0.52963895851533749</v>
      </c>
      <c r="O28" s="110">
        <f t="shared" si="7"/>
        <v>0.52176057336770587</v>
      </c>
      <c r="P28" s="110">
        <f t="shared" si="7"/>
        <v>0.5375173436629691</v>
      </c>
      <c r="Q28" s="110">
        <f t="shared" si="8"/>
        <v>1.3033303940171921</v>
      </c>
      <c r="R28" s="110">
        <f t="shared" si="8"/>
        <v>1.3033303940171941</v>
      </c>
      <c r="S28" s="110">
        <f t="shared" si="3"/>
        <v>1.3033303940171901</v>
      </c>
    </row>
    <row r="29" spans="1:19" x14ac:dyDescent="0.25">
      <c r="A29">
        <f>Nursery!A24</f>
        <v>40</v>
      </c>
      <c r="B29" s="2">
        <f t="shared" si="18"/>
        <v>10.969637082825722</v>
      </c>
      <c r="C29" s="2">
        <f t="shared" si="18"/>
        <v>10.916862674964515</v>
      </c>
      <c r="D29" s="2">
        <f t="shared" si="18"/>
        <v>11.022411490686929</v>
      </c>
      <c r="E29" s="1">
        <f t="shared" si="19"/>
        <v>0.54995439659954393</v>
      </c>
      <c r="F29" s="1">
        <f t="shared" si="19"/>
        <v>0.54699467134757807</v>
      </c>
      <c r="G29" s="1">
        <f t="shared" si="19"/>
        <v>0.55228324568309695</v>
      </c>
      <c r="H29" s="1">
        <f t="shared" si="4"/>
        <v>1.2680169379393684</v>
      </c>
      <c r="I29" s="1">
        <f t="shared" si="4"/>
        <v>1.2672896397558913</v>
      </c>
      <c r="J29" s="1">
        <f t="shared" si="4"/>
        <v>1.2672896397558917</v>
      </c>
      <c r="K29" s="2">
        <f>Nursery!B24</f>
        <v>10.608582469012829</v>
      </c>
      <c r="L29" s="111">
        <f t="shared" si="5"/>
        <v>10.450779691823673</v>
      </c>
      <c r="M29" s="111">
        <f t="shared" si="6"/>
        <v>10.766385246201986</v>
      </c>
      <c r="N29" s="110">
        <f>Nursery!D24</f>
        <v>0.54963895851533751</v>
      </c>
      <c r="O29" s="110">
        <f t="shared" si="7"/>
        <v>0.54146307315474129</v>
      </c>
      <c r="P29" s="110">
        <f t="shared" si="7"/>
        <v>0.55781484387593361</v>
      </c>
      <c r="Q29" s="110">
        <f t="shared" si="8"/>
        <v>1.3104208283767693</v>
      </c>
      <c r="R29" s="110">
        <f t="shared" si="8"/>
        <v>1.3104208283767693</v>
      </c>
      <c r="S29" s="110">
        <f t="shared" si="3"/>
        <v>1.3104208283767691</v>
      </c>
    </row>
    <row r="30" spans="1:19" x14ac:dyDescent="0.25">
      <c r="A30">
        <f t="shared" ref="A30" si="21">A29+1</f>
        <v>41</v>
      </c>
      <c r="B30" s="2">
        <f t="shared" si="18"/>
        <v>11.403349267690748</v>
      </c>
      <c r="C30" s="2">
        <f t="shared" si="18"/>
        <v>11.348488290915215</v>
      </c>
      <c r="D30" s="2">
        <f t="shared" si="18"/>
        <v>11.458210244466278</v>
      </c>
      <c r="E30" s="1">
        <f t="shared" si="19"/>
        <v>0.56996587460994763</v>
      </c>
      <c r="F30" s="1">
        <f t="shared" si="19"/>
        <v>0.56689845228861979</v>
      </c>
      <c r="G30" s="1">
        <f t="shared" si="19"/>
        <v>0.57237946474205526</v>
      </c>
      <c r="H30" s="1">
        <f t="shared" si="4"/>
        <v>1.2760694275160867</v>
      </c>
      <c r="I30" s="1">
        <f t="shared" si="4"/>
        <v>1.2753375106553115</v>
      </c>
      <c r="J30" s="1">
        <f t="shared" si="4"/>
        <v>1.2753375106553066</v>
      </c>
      <c r="K30" s="2">
        <f>Nursery!B25</f>
        <v>11.028019451860683</v>
      </c>
      <c r="L30" s="111">
        <f t="shared" si="5"/>
        <v>10.863977545085405</v>
      </c>
      <c r="M30" s="111">
        <f t="shared" si="6"/>
        <v>11.192061358635963</v>
      </c>
      <c r="N30" s="110">
        <f>Nursery!D25</f>
        <v>0.56963895851533752</v>
      </c>
      <c r="O30" s="110">
        <f t="shared" si="7"/>
        <v>0.56116557294177682</v>
      </c>
      <c r="P30" s="110">
        <f t="shared" si="7"/>
        <v>0.57811234408889822</v>
      </c>
      <c r="Q30" s="110">
        <f t="shared" si="8"/>
        <v>1.3187426021211797</v>
      </c>
      <c r="R30" s="110">
        <f t="shared" si="8"/>
        <v>1.3187426021211788</v>
      </c>
      <c r="S30" s="110">
        <f t="shared" si="3"/>
        <v>1.3187426021211808</v>
      </c>
    </row>
    <row r="31" spans="1:19" x14ac:dyDescent="0.25">
      <c r="A31">
        <f>Nursery!A26</f>
        <v>42</v>
      </c>
      <c r="B31" s="2">
        <f t="shared" si="18"/>
        <v>11.850006684849786</v>
      </c>
      <c r="C31" s="2">
        <f t="shared" si="18"/>
        <v>11.792996860256462</v>
      </c>
      <c r="D31" s="2">
        <f t="shared" si="18"/>
        <v>11.907016509443107</v>
      </c>
      <c r="E31" s="1">
        <f t="shared" si="19"/>
        <v>0.58997735262035134</v>
      </c>
      <c r="F31" s="1">
        <f t="shared" si="19"/>
        <v>0.58680223322966152</v>
      </c>
      <c r="G31" s="1">
        <f t="shared" si="19"/>
        <v>0.59247568380101356</v>
      </c>
      <c r="H31" s="1">
        <f t="shared" si="4"/>
        <v>1.2919433921215786</v>
      </c>
      <c r="I31" s="1">
        <f t="shared" si="4"/>
        <v>1.2912023704095337</v>
      </c>
      <c r="J31" s="1">
        <f t="shared" si="4"/>
        <v>1.2912023704095321</v>
      </c>
      <c r="K31" s="2">
        <f>Nursery!B26</f>
        <v>11.459975587651762</v>
      </c>
      <c r="L31" s="111">
        <f t="shared" si="5"/>
        <v>11.289508328757025</v>
      </c>
      <c r="M31" s="111">
        <f t="shared" si="6"/>
        <v>11.630442846546501</v>
      </c>
      <c r="N31" s="110">
        <f>Nursery!D26</f>
        <v>0.58963895851533754</v>
      </c>
      <c r="O31" s="110">
        <f t="shared" si="7"/>
        <v>0.58086807272881225</v>
      </c>
      <c r="P31" s="110">
        <f t="shared" si="7"/>
        <v>0.59840984430186273</v>
      </c>
      <c r="Q31" s="110">
        <f t="shared" si="8"/>
        <v>1.33514740967979</v>
      </c>
      <c r="R31" s="110">
        <f t="shared" si="8"/>
        <v>1.3351474096797888</v>
      </c>
      <c r="S31" s="110">
        <f t="shared" si="3"/>
        <v>1.3351474096797906</v>
      </c>
    </row>
    <row r="32" spans="1:19" x14ac:dyDescent="0.25">
      <c r="A32">
        <f t="shared" ref="A32" si="22">A31+1</f>
        <v>43</v>
      </c>
      <c r="B32" s="2">
        <f t="shared" si="18"/>
        <v>12.3066655107845</v>
      </c>
      <c r="C32" s="2">
        <f t="shared" si="18"/>
        <v>12.247458722066353</v>
      </c>
      <c r="D32" s="2">
        <f t="shared" si="18"/>
        <v>12.365872299502644</v>
      </c>
      <c r="E32" s="1">
        <f t="shared" si="19"/>
        <v>0.60998883063075515</v>
      </c>
      <c r="F32" s="1">
        <f t="shared" si="19"/>
        <v>0.60670601417070313</v>
      </c>
      <c r="G32" s="1">
        <f t="shared" si="19"/>
        <v>0.61257190285997198</v>
      </c>
      <c r="H32" s="1">
        <f t="shared" si="4"/>
        <v>1.3065099500127377</v>
      </c>
      <c r="I32" s="1">
        <f t="shared" si="4"/>
        <v>1.305760573340464</v>
      </c>
      <c r="J32" s="1">
        <f t="shared" si="4"/>
        <v>1.3057605733404596</v>
      </c>
      <c r="K32" s="2">
        <f>Nursery!B27</f>
        <v>11.90160394586934</v>
      </c>
      <c r="L32" s="111">
        <f t="shared" si="5"/>
        <v>11.724567460443557</v>
      </c>
      <c r="M32" s="111">
        <f t="shared" si="6"/>
        <v>12.078640431295124</v>
      </c>
      <c r="N32" s="110">
        <f>Nursery!D27</f>
        <v>0.60963895851533756</v>
      </c>
      <c r="O32" s="110">
        <f t="shared" si="7"/>
        <v>0.60057057251584778</v>
      </c>
      <c r="P32" s="110">
        <f t="shared" si="7"/>
        <v>0.61870734451482734</v>
      </c>
      <c r="Q32" s="110">
        <f t="shared" si="8"/>
        <v>1.350201089395892</v>
      </c>
      <c r="R32" s="110">
        <f t="shared" si="8"/>
        <v>1.3502010893958898</v>
      </c>
      <c r="S32" s="110">
        <f t="shared" si="3"/>
        <v>1.3502010893958942</v>
      </c>
    </row>
    <row r="33" spans="1:19" x14ac:dyDescent="0.25">
      <c r="A33">
        <f>Nursery!A28</f>
        <v>44</v>
      </c>
      <c r="B33" s="2">
        <f t="shared" si="18"/>
        <v>12.773549693813345</v>
      </c>
      <c r="C33" s="2">
        <f t="shared" si="18"/>
        <v>12.712096747258519</v>
      </c>
      <c r="D33" s="2">
        <f t="shared" si="18"/>
        <v>12.835002640368169</v>
      </c>
      <c r="E33" s="1">
        <f t="shared" si="19"/>
        <v>0.63000030864115886</v>
      </c>
      <c r="F33" s="1">
        <f t="shared" si="19"/>
        <v>0.62660979511174486</v>
      </c>
      <c r="G33" s="1">
        <f t="shared" si="19"/>
        <v>0.63266812191893029</v>
      </c>
      <c r="H33" s="1">
        <f t="shared" si="4"/>
        <v>1.3198187547315092</v>
      </c>
      <c r="I33" s="1">
        <f t="shared" si="4"/>
        <v>1.3190617445101749</v>
      </c>
      <c r="J33" s="1">
        <f t="shared" si="4"/>
        <v>1.3190617445101753</v>
      </c>
      <c r="K33" s="2">
        <f>Nursery!B28</f>
        <v>12.353121103797351</v>
      </c>
      <c r="L33" s="111">
        <f t="shared" si="5"/>
        <v>12.169368295839533</v>
      </c>
      <c r="M33" s="111">
        <f t="shared" si="6"/>
        <v>12.536873911755171</v>
      </c>
      <c r="N33" s="110">
        <f>Nursery!D28</f>
        <v>0.62963895851533758</v>
      </c>
      <c r="O33" s="110">
        <f t="shared" si="7"/>
        <v>0.6202730723028832</v>
      </c>
      <c r="P33" s="110">
        <f t="shared" si="7"/>
        <v>0.63900484472779184</v>
      </c>
      <c r="Q33" s="110">
        <f t="shared" si="8"/>
        <v>1.3639549552808528</v>
      </c>
      <c r="R33" s="110">
        <f t="shared" si="8"/>
        <v>1.3639549552808534</v>
      </c>
      <c r="S33" s="110">
        <f t="shared" si="3"/>
        <v>1.3639549552808519</v>
      </c>
    </row>
    <row r="34" spans="1:19" x14ac:dyDescent="0.25">
      <c r="A34">
        <f t="shared" ref="A34" si="23">A33+1</f>
        <v>45</v>
      </c>
      <c r="B34" s="2">
        <f t="shared" si="18"/>
        <v>13.250888196833269</v>
      </c>
      <c r="C34" s="2">
        <f t="shared" si="18"/>
        <v>13.187138797200186</v>
      </c>
      <c r="D34" s="2">
        <f t="shared" si="18"/>
        <v>13.314637596466351</v>
      </c>
      <c r="E34" s="1">
        <f t="shared" si="19"/>
        <v>0.65001178665156256</v>
      </c>
      <c r="F34" s="1">
        <f t="shared" si="19"/>
        <v>0.64651357605278648</v>
      </c>
      <c r="G34" s="1">
        <f t="shared" si="19"/>
        <v>0.65276434097788871</v>
      </c>
      <c r="H34" s="1">
        <f t="shared" si="4"/>
        <v>1.3319179119865867</v>
      </c>
      <c r="I34" s="1">
        <f t="shared" si="4"/>
        <v>1.331153962035333</v>
      </c>
      <c r="J34" s="1">
        <f t="shared" si="4"/>
        <v>1.331153962035331</v>
      </c>
      <c r="K34" s="2">
        <f>Nursery!B29</f>
        <v>12.814748488248393</v>
      </c>
      <c r="L34" s="111">
        <f t="shared" si="5"/>
        <v>12.624128968031352</v>
      </c>
      <c r="M34" s="111">
        <f t="shared" si="6"/>
        <v>13.005368008465435</v>
      </c>
      <c r="N34" s="110">
        <f>Nursery!D29</f>
        <v>0.64963895851533759</v>
      </c>
      <c r="O34" s="110">
        <f t="shared" si="7"/>
        <v>0.63997557208991862</v>
      </c>
      <c r="P34" s="110">
        <f t="shared" si="7"/>
        <v>0.65930234494075646</v>
      </c>
      <c r="Q34" s="110">
        <f t="shared" si="8"/>
        <v>1.3764587217515332</v>
      </c>
      <c r="R34" s="110">
        <f t="shared" si="8"/>
        <v>1.3764587217515329</v>
      </c>
      <c r="S34" s="110">
        <f t="shared" si="3"/>
        <v>1.3764587217515329</v>
      </c>
    </row>
    <row r="35" spans="1:19" x14ac:dyDescent="0.25">
      <c r="A35">
        <f>Nursery!A30</f>
        <v>46</v>
      </c>
      <c r="B35" s="2">
        <f t="shared" si="18"/>
        <v>13.738915109604534</v>
      </c>
      <c r="C35" s="2">
        <f t="shared" si="18"/>
        <v>13.672817835456788</v>
      </c>
      <c r="D35" s="2">
        <f t="shared" si="18"/>
        <v>13.805012383752274</v>
      </c>
      <c r="E35" s="1">
        <f t="shared" si="19"/>
        <v>0.67302498636352692</v>
      </c>
      <c r="F35" s="1">
        <f t="shared" si="19"/>
        <v>0.66940292413498448</v>
      </c>
      <c r="G35" s="1">
        <f t="shared" si="19"/>
        <v>0.67587499289569075</v>
      </c>
      <c r="H35" s="1">
        <f t="shared" si="4"/>
        <v>1.3488700446862074</v>
      </c>
      <c r="I35" s="1">
        <f t="shared" si="4"/>
        <v>1.3480963714773564</v>
      </c>
      <c r="J35" s="1">
        <f t="shared" si="4"/>
        <v>1.3480963714773551</v>
      </c>
      <c r="K35" s="2">
        <f>Nursery!B30</f>
        <v>13.286712484152808</v>
      </c>
      <c r="L35" s="111">
        <f t="shared" si="5"/>
        <v>13.089072494471109</v>
      </c>
      <c r="M35" s="111">
        <f t="shared" si="6"/>
        <v>13.484352473834509</v>
      </c>
      <c r="N35" s="110">
        <f>Nursery!D30</f>
        <v>0.67263895851533761</v>
      </c>
      <c r="O35" s="110">
        <f t="shared" si="7"/>
        <v>0.66263344684500947</v>
      </c>
      <c r="P35" s="110">
        <f t="shared" si="7"/>
        <v>0.68264447018566565</v>
      </c>
      <c r="Q35" s="110">
        <f t="shared" si="8"/>
        <v>1.3939777525391575</v>
      </c>
      <c r="R35" s="110">
        <f t="shared" si="8"/>
        <v>1.3939777525391572</v>
      </c>
      <c r="S35" s="110">
        <f t="shared" si="3"/>
        <v>1.3939777525391623</v>
      </c>
    </row>
    <row r="36" spans="1:19" x14ac:dyDescent="0.25">
      <c r="A36">
        <f t="shared" ref="A36" si="24">A35+1</f>
        <v>47</v>
      </c>
      <c r="B36" s="2">
        <f t="shared" si="18"/>
        <v>14.237869763549789</v>
      </c>
      <c r="C36" s="2">
        <f t="shared" si="18"/>
        <v>14.169372042038768</v>
      </c>
      <c r="D36" s="2">
        <f t="shared" si="18"/>
        <v>14.306367485060804</v>
      </c>
      <c r="E36" s="1">
        <f t="shared" si="19"/>
        <v>0.69603818607549117</v>
      </c>
      <c r="F36" s="1">
        <f t="shared" si="19"/>
        <v>0.69229227221718237</v>
      </c>
      <c r="G36" s="1">
        <f t="shared" si="19"/>
        <v>0.6989856448134929</v>
      </c>
      <c r="H36" s="1">
        <f t="shared" si="4"/>
        <v>1.3644407555667324</v>
      </c>
      <c r="I36" s="1">
        <f t="shared" si="4"/>
        <v>1.3636581514442576</v>
      </c>
      <c r="J36" s="1">
        <f t="shared" si="4"/>
        <v>1.3636581514442585</v>
      </c>
      <c r="K36" s="2">
        <f>Nursery!B31</f>
        <v>13.769244545579264</v>
      </c>
      <c r="L36" s="111">
        <f t="shared" si="5"/>
        <v>13.564426886345736</v>
      </c>
      <c r="M36" s="111">
        <f t="shared" si="6"/>
        <v>13.974062204812792</v>
      </c>
      <c r="N36" s="110">
        <f>Nursery!D31</f>
        <v>0.69563895851533764</v>
      </c>
      <c r="O36" s="110">
        <f t="shared" si="7"/>
        <v>0.68529132160010031</v>
      </c>
      <c r="P36" s="110">
        <f t="shared" si="7"/>
        <v>0.70598659543057496</v>
      </c>
      <c r="Q36" s="110">
        <f t="shared" si="8"/>
        <v>1.4100691652324493</v>
      </c>
      <c r="R36" s="110">
        <f t="shared" si="8"/>
        <v>1.4100691652324453</v>
      </c>
      <c r="S36" s="110">
        <f t="shared" si="3"/>
        <v>1.410069165232448</v>
      </c>
    </row>
    <row r="37" spans="1:19" x14ac:dyDescent="0.25">
      <c r="A37">
        <f>Nursery!A32</f>
        <v>48</v>
      </c>
      <c r="B37" s="2">
        <f t="shared" si="18"/>
        <v>14.747996849123677</v>
      </c>
      <c r="C37" s="2">
        <f t="shared" si="18"/>
        <v>14.677044930206504</v>
      </c>
      <c r="D37" s="2">
        <f t="shared" si="18"/>
        <v>14.818948768040848</v>
      </c>
      <c r="E37" s="1">
        <f t="shared" si="19"/>
        <v>0.71905138578745542</v>
      </c>
      <c r="F37" s="1">
        <f t="shared" si="19"/>
        <v>0.71518162029938026</v>
      </c>
      <c r="G37" s="1">
        <f t="shared" si="19"/>
        <v>0.72209629673129505</v>
      </c>
      <c r="H37" s="1">
        <f t="shared" si="4"/>
        <v>1.3786824230596098</v>
      </c>
      <c r="I37" s="1">
        <f t="shared" si="4"/>
        <v>1.37789165032473</v>
      </c>
      <c r="J37" s="1">
        <f t="shared" si="4"/>
        <v>1.3778916503247272</v>
      </c>
      <c r="K37" s="2">
        <f>Nursery!B32</f>
        <v>14.262581309241252</v>
      </c>
      <c r="L37" s="111">
        <f t="shared" si="5"/>
        <v>14.050425260395091</v>
      </c>
      <c r="M37" s="111">
        <f t="shared" si="6"/>
        <v>14.474737358087415</v>
      </c>
      <c r="N37" s="110">
        <f>Nursery!D32</f>
        <v>0.71863895851533766</v>
      </c>
      <c r="O37" s="110">
        <f t="shared" si="7"/>
        <v>0.70794919635519105</v>
      </c>
      <c r="P37" s="110">
        <f t="shared" si="7"/>
        <v>0.72932872067548415</v>
      </c>
      <c r="Q37" s="110">
        <f t="shared" si="8"/>
        <v>1.4247870898556145</v>
      </c>
      <c r="R37" s="110">
        <f t="shared" si="8"/>
        <v>1.4247870898556154</v>
      </c>
      <c r="S37" s="110">
        <f t="shared" si="3"/>
        <v>1.4247870898556134</v>
      </c>
    </row>
    <row r="38" spans="1:19" x14ac:dyDescent="0.25">
      <c r="A38">
        <f t="shared" ref="A38" si="25">A37+1</f>
        <v>49</v>
      </c>
      <c r="B38" s="2">
        <f t="shared" si="18"/>
        <v>15.269546535810562</v>
      </c>
      <c r="C38" s="2">
        <f t="shared" si="18"/>
        <v>15.196085465890738</v>
      </c>
      <c r="D38" s="2">
        <f t="shared" si="18"/>
        <v>15.343007605730385</v>
      </c>
      <c r="E38" s="1">
        <f t="shared" si="19"/>
        <v>0.74206458549941978</v>
      </c>
      <c r="F38" s="1">
        <f t="shared" si="19"/>
        <v>0.73807096838157826</v>
      </c>
      <c r="G38" s="1">
        <f t="shared" si="19"/>
        <v>0.74520694864909709</v>
      </c>
      <c r="H38" s="1">
        <f t="shared" si="4"/>
        <v>1.3916457939084881</v>
      </c>
      <c r="I38" s="1">
        <f t="shared" si="4"/>
        <v>1.3908475857555291</v>
      </c>
      <c r="J38" s="1">
        <f t="shared" si="4"/>
        <v>1.3908475857555227</v>
      </c>
      <c r="K38" s="2">
        <f>Nursery!B33</f>
        <v>14.766964710545206</v>
      </c>
      <c r="L38" s="111">
        <f t="shared" si="5"/>
        <v>14.54730595323386</v>
      </c>
      <c r="M38" s="111">
        <f t="shared" si="6"/>
        <v>14.986623467856555</v>
      </c>
      <c r="N38" s="110">
        <f>Nursery!D33</f>
        <v>0.74163895851533768</v>
      </c>
      <c r="O38" s="110">
        <f>$N38*O$5</f>
        <v>0.73060707111028189</v>
      </c>
      <c r="P38" s="110">
        <f t="shared" si="7"/>
        <v>0.75267084592039346</v>
      </c>
      <c r="Q38" s="110">
        <f t="shared" si="8"/>
        <v>1.4381839701795887</v>
      </c>
      <c r="R38" s="110">
        <f t="shared" si="8"/>
        <v>1.4381839701795884</v>
      </c>
      <c r="S38" s="110">
        <f t="shared" si="3"/>
        <v>1.4381839701795887</v>
      </c>
    </row>
    <row r="39" spans="1:19" x14ac:dyDescent="0.25">
      <c r="A39">
        <f>Nursery!A34</f>
        <v>50</v>
      </c>
      <c r="B39" s="2">
        <f t="shared" si="18"/>
        <v>15.802774594809184</v>
      </c>
      <c r="C39" s="2">
        <f t="shared" si="18"/>
        <v>15.726748189787006</v>
      </c>
      <c r="D39" s="2">
        <f t="shared" si="18"/>
        <v>15.878800999831359</v>
      </c>
      <c r="E39" s="1">
        <f t="shared" si="19"/>
        <v>0.76507778521138403</v>
      </c>
      <c r="F39" s="1">
        <f t="shared" si="19"/>
        <v>0.76096031646377615</v>
      </c>
      <c r="G39" s="1">
        <f t="shared" si="19"/>
        <v>0.76831760056689924</v>
      </c>
      <c r="H39" s="1">
        <f t="shared" si="4"/>
        <v>1.4033800295171288</v>
      </c>
      <c r="I39" s="1">
        <f t="shared" si="4"/>
        <v>1.4025750909428421</v>
      </c>
      <c r="J39" s="1">
        <f t="shared" si="4"/>
        <v>1.4025750909428409</v>
      </c>
      <c r="K39" s="2">
        <f>Nursery!B34</f>
        <v>15.282642102237125</v>
      </c>
      <c r="L39" s="111">
        <f t="shared" si="5"/>
        <v>15.05531263823331</v>
      </c>
      <c r="M39" s="111">
        <f t="shared" si="6"/>
        <v>15.509971566240941</v>
      </c>
      <c r="N39" s="110">
        <f>Nursery!D34</f>
        <v>0.7646389585153377</v>
      </c>
      <c r="O39" s="110">
        <f t="shared" si="7"/>
        <v>0.75326494586537263</v>
      </c>
      <c r="P39" s="110">
        <f t="shared" si="7"/>
        <v>0.77601297116530266</v>
      </c>
      <c r="Q39" s="110">
        <f t="shared" si="8"/>
        <v>1.450310611619908</v>
      </c>
      <c r="R39" s="110">
        <f t="shared" si="8"/>
        <v>1.4503106116199052</v>
      </c>
      <c r="S39" s="110">
        <f t="shared" si="3"/>
        <v>1.4503106116199107</v>
      </c>
    </row>
    <row r="40" spans="1:19" x14ac:dyDescent="0.25">
      <c r="A40">
        <f t="shared" ref="A40" si="26">A39+1</f>
        <v>51</v>
      </c>
      <c r="B40" s="2">
        <f t="shared" si="18"/>
        <v>16.34794252446444</v>
      </c>
      <c r="C40" s="2">
        <f t="shared" si="18"/>
        <v>16.269293342183975</v>
      </c>
      <c r="D40" s="2">
        <f t="shared" si="18"/>
        <v>16.426591706744897</v>
      </c>
      <c r="E40" s="1">
        <f t="shared" si="19"/>
        <v>0.78809098492334839</v>
      </c>
      <c r="F40" s="1">
        <f t="shared" si="19"/>
        <v>0.78384966454597405</v>
      </c>
      <c r="G40" s="1">
        <f t="shared" si="19"/>
        <v>0.79142825248470139</v>
      </c>
      <c r="H40" s="1">
        <f t="shared" si="4"/>
        <v>1.4139327510498263</v>
      </c>
      <c r="I40" s="1">
        <f t="shared" si="4"/>
        <v>1.4131217597368224</v>
      </c>
      <c r="J40" s="1">
        <f t="shared" si="4"/>
        <v>1.4131217597368229</v>
      </c>
      <c r="K40" s="2">
        <f>Nursery!B35</f>
        <v>15.809866375705884</v>
      </c>
      <c r="L40" s="111">
        <f t="shared" si="5"/>
        <v>15.574694445020219</v>
      </c>
      <c r="M40" s="111">
        <f t="shared" si="6"/>
        <v>16.04503830639155</v>
      </c>
      <c r="N40" s="110">
        <f>Nursery!D35</f>
        <v>0.78763895851533772</v>
      </c>
      <c r="O40" s="110">
        <f t="shared" si="7"/>
        <v>0.77592282062046347</v>
      </c>
      <c r="P40" s="110">
        <f t="shared" si="7"/>
        <v>0.79935509641021196</v>
      </c>
      <c r="Q40" s="110">
        <f t="shared" si="8"/>
        <v>1.4612162278453324</v>
      </c>
      <c r="R40" s="110">
        <f t="shared" si="8"/>
        <v>1.4612162278453329</v>
      </c>
      <c r="S40" s="110">
        <f t="shared" si="3"/>
        <v>1.4612162278453369</v>
      </c>
    </row>
    <row r="41" spans="1:19" x14ac:dyDescent="0.25">
      <c r="A41">
        <f>Nursery!A36</f>
        <v>52</v>
      </c>
      <c r="B41" s="2">
        <f t="shared" si="18"/>
        <v>16.905317678507799</v>
      </c>
      <c r="C41" s="2">
        <f t="shared" si="18"/>
        <v>16.823986990586896</v>
      </c>
      <c r="D41" s="2">
        <f t="shared" si="18"/>
        <v>16.9866483664287</v>
      </c>
      <c r="E41" s="1">
        <f t="shared" si="19"/>
        <v>0.81110418463531264</v>
      </c>
      <c r="F41" s="1">
        <f t="shared" si="19"/>
        <v>0.80673901262817205</v>
      </c>
      <c r="G41" s="1">
        <f t="shared" si="19"/>
        <v>0.81453890440250343</v>
      </c>
      <c r="H41" s="1">
        <f t="shared" si="4"/>
        <v>1.4233500833168389</v>
      </c>
      <c r="I41" s="1">
        <f t="shared" si="4"/>
        <v>1.4225336904918831</v>
      </c>
      <c r="J41" s="1">
        <f t="shared" si="4"/>
        <v>1.4225336904918755</v>
      </c>
      <c r="K41" s="2">
        <f>Nursery!B36</f>
        <v>16.348896085002753</v>
      </c>
      <c r="L41" s="111">
        <f t="shared" si="5"/>
        <v>16.105706081651586</v>
      </c>
      <c r="M41" s="111">
        <f t="shared" si="6"/>
        <v>16.59208608835392</v>
      </c>
      <c r="N41" s="110">
        <f>Nursery!D36</f>
        <v>0.81063895851533774</v>
      </c>
      <c r="O41" s="110">
        <f t="shared" si="7"/>
        <v>0.79858069537555421</v>
      </c>
      <c r="P41" s="110">
        <f t="shared" si="7"/>
        <v>0.82269722165512116</v>
      </c>
      <c r="Q41" s="110">
        <f t="shared" si="8"/>
        <v>1.4709484861308417</v>
      </c>
      <c r="R41" s="110">
        <f t="shared" si="8"/>
        <v>1.4709484861308417</v>
      </c>
      <c r="S41" s="110">
        <f t="shared" si="3"/>
        <v>1.4709484861308413</v>
      </c>
    </row>
    <row r="42" spans="1:19" x14ac:dyDescent="0.25">
      <c r="A42">
        <f t="shared" ref="A42" si="27">A41+1</f>
        <v>53</v>
      </c>
      <c r="B42" s="2">
        <f t="shared" si="18"/>
        <v>17.475173397169222</v>
      </c>
      <c r="C42" s="2">
        <f t="shared" si="18"/>
        <v>17.391101160198737</v>
      </c>
      <c r="D42" s="2">
        <f t="shared" si="18"/>
        <v>17.559245634139707</v>
      </c>
      <c r="E42" s="1">
        <f t="shared" si="19"/>
        <v>0.834117384347277</v>
      </c>
      <c r="F42" s="1">
        <f t="shared" si="19"/>
        <v>0.82962836071036994</v>
      </c>
      <c r="G42" s="1">
        <f t="shared" si="19"/>
        <v>0.83764955632030558</v>
      </c>
      <c r="H42" s="1">
        <f t="shared" si="4"/>
        <v>1.4316766974761514</v>
      </c>
      <c r="I42" s="1">
        <f t="shared" si="4"/>
        <v>1.4308555287438931</v>
      </c>
      <c r="J42" s="1">
        <f t="shared" si="4"/>
        <v>1.4308555287439044</v>
      </c>
      <c r="K42" s="2">
        <f>Nursery!B37</f>
        <v>16.899995573637892</v>
      </c>
      <c r="L42" s="111">
        <f t="shared" si="5"/>
        <v>16.648607959525044</v>
      </c>
      <c r="M42" s="111">
        <f t="shared" si="6"/>
        <v>17.151383187750739</v>
      </c>
      <c r="N42" s="110">
        <f>Nursery!D37</f>
        <v>0.83363895851533776</v>
      </c>
      <c r="O42" s="110">
        <f t="shared" si="7"/>
        <v>0.82123857013064505</v>
      </c>
      <c r="P42" s="110">
        <f t="shared" si="7"/>
        <v>0.84603934690003035</v>
      </c>
      <c r="Q42" s="110">
        <f t="shared" si="8"/>
        <v>1.4795535514874354</v>
      </c>
      <c r="R42" s="110">
        <f t="shared" si="8"/>
        <v>1.4795535514874336</v>
      </c>
      <c r="S42" s="110">
        <f t="shared" si="3"/>
        <v>1.4795535514874367</v>
      </c>
    </row>
    <row r="43" spans="1:19" x14ac:dyDescent="0.25">
      <c r="A43">
        <f>Nursery!A38</f>
        <v>54</v>
      </c>
      <c r="B43" s="2">
        <f t="shared" si="18"/>
        <v>18.057789141224923</v>
      </c>
      <c r="C43" s="2">
        <f t="shared" si="18"/>
        <v>17.970913967323071</v>
      </c>
      <c r="D43" s="2">
        <f t="shared" si="18"/>
        <v>18.144664315126771</v>
      </c>
      <c r="E43" s="1">
        <f t="shared" si="19"/>
        <v>0.85913173186028158</v>
      </c>
      <c r="F43" s="1">
        <f t="shared" si="19"/>
        <v>0.85450808688667201</v>
      </c>
      <c r="G43" s="1">
        <f t="shared" si="19"/>
        <v>0.86276983014400355</v>
      </c>
      <c r="H43" s="1">
        <f t="shared" si="4"/>
        <v>1.4423153912502558</v>
      </c>
      <c r="I43" s="1">
        <f t="shared" si="4"/>
        <v>1.4414881204680845</v>
      </c>
      <c r="J43" s="1">
        <f t="shared" si="4"/>
        <v>1.4414881204680705</v>
      </c>
      <c r="K43" s="2">
        <f>Nursery!B38</f>
        <v>17.463435104216057</v>
      </c>
      <c r="L43" s="111">
        <f t="shared" si="5"/>
        <v>17.203666321086228</v>
      </c>
      <c r="M43" s="111">
        <f t="shared" si="6"/>
        <v>17.723203887345885</v>
      </c>
      <c r="N43" s="110">
        <f>Nursery!D38</f>
        <v>0.85863895851533778</v>
      </c>
      <c r="O43" s="110">
        <f t="shared" si="7"/>
        <v>0.84586669486443933</v>
      </c>
      <c r="P43" s="110">
        <f t="shared" si="7"/>
        <v>0.87141122216623612</v>
      </c>
      <c r="Q43" s="110">
        <f t="shared" si="8"/>
        <v>1.4905480149612107</v>
      </c>
      <c r="R43" s="110">
        <f t="shared" si="8"/>
        <v>1.4905480149612071</v>
      </c>
      <c r="S43" s="110">
        <f t="shared" si="3"/>
        <v>1.4905480149612047</v>
      </c>
    </row>
    <row r="44" spans="1:19" x14ac:dyDescent="0.25">
      <c r="A44">
        <f t="shared" ref="A44" si="28">A43+1</f>
        <v>55</v>
      </c>
      <c r="B44" s="2">
        <f t="shared" si="18"/>
        <v>18.653450629046635</v>
      </c>
      <c r="C44" s="2">
        <f t="shared" si="18"/>
        <v>18.563709755753983</v>
      </c>
      <c r="D44" s="2">
        <f t="shared" si="18"/>
        <v>18.743191502339283</v>
      </c>
      <c r="E44" s="1">
        <f t="shared" si="19"/>
        <v>0.88414607937328626</v>
      </c>
      <c r="F44" s="1">
        <f t="shared" si="19"/>
        <v>0.87938781306297409</v>
      </c>
      <c r="G44" s="1">
        <f t="shared" si="19"/>
        <v>0.88789010396770152</v>
      </c>
      <c r="H44" s="1">
        <f t="shared" si="4"/>
        <v>1.4518013570154751</v>
      </c>
      <c r="I44" s="1">
        <f t="shared" si="4"/>
        <v>1.4509686453551287</v>
      </c>
      <c r="J44" s="1">
        <f t="shared" si="4"/>
        <v>1.450968645355136</v>
      </c>
      <c r="K44" s="2">
        <f>Nursery!B39</f>
        <v>18.03949099097505</v>
      </c>
      <c r="L44" s="111">
        <f t="shared" si="5"/>
        <v>17.771153370395709</v>
      </c>
      <c r="M44" s="111">
        <f t="shared" si="6"/>
        <v>18.307828611554395</v>
      </c>
      <c r="N44" s="110">
        <f>Nursery!D39</f>
        <v>0.8836389585153378</v>
      </c>
      <c r="O44" s="110">
        <f t="shared" si="7"/>
        <v>0.87049481959823372</v>
      </c>
      <c r="P44" s="110">
        <f t="shared" si="7"/>
        <v>0.89678309743244178</v>
      </c>
      <c r="Q44" s="110">
        <f t="shared" si="8"/>
        <v>1.5003512019251122</v>
      </c>
      <c r="R44" s="110">
        <f t="shared" si="8"/>
        <v>1.5003512019251155</v>
      </c>
      <c r="S44" s="110">
        <f t="shared" si="3"/>
        <v>1.5003512019251175</v>
      </c>
    </row>
    <row r="45" spans="1:19" x14ac:dyDescent="0.25">
      <c r="A45">
        <f>Nursery!A40</f>
        <v>56</v>
      </c>
      <c r="B45" s="2">
        <f t="shared" si="18"/>
        <v>19.262449976719694</v>
      </c>
      <c r="C45" s="2">
        <f t="shared" si="18"/>
        <v>19.169779236220077</v>
      </c>
      <c r="D45" s="2">
        <f t="shared" si="18"/>
        <v>19.355120717219307</v>
      </c>
      <c r="E45" s="1">
        <f t="shared" si="19"/>
        <v>0.91416329638889193</v>
      </c>
      <c r="F45" s="1">
        <f t="shared" si="19"/>
        <v>0.90924348447453662</v>
      </c>
      <c r="G45" s="1">
        <f t="shared" si="19"/>
        <v>0.91803443255613904</v>
      </c>
      <c r="H45" s="1">
        <f t="shared" si="4"/>
        <v>1.4682149686433319</v>
      </c>
      <c r="I45" s="1">
        <f t="shared" si="4"/>
        <v>1.4673728426056589</v>
      </c>
      <c r="J45" s="1">
        <f t="shared" si="4"/>
        <v>1.4673728426056485</v>
      </c>
      <c r="K45" s="2">
        <f>Nursery!B40</f>
        <v>18.628445735291937</v>
      </c>
      <c r="L45" s="111">
        <f t="shared" si="5"/>
        <v>18.351347406619556</v>
      </c>
      <c r="M45" s="111">
        <f t="shared" si="6"/>
        <v>18.905544063964317</v>
      </c>
      <c r="N45" s="110">
        <f>Nursery!D40</f>
        <v>0.91363895851533783</v>
      </c>
      <c r="O45" s="110">
        <f t="shared" si="7"/>
        <v>0.90004856927878696</v>
      </c>
      <c r="P45" s="110">
        <f t="shared" si="7"/>
        <v>0.9272293477518887</v>
      </c>
      <c r="Q45" s="110">
        <f t="shared" si="8"/>
        <v>1.5173137029000472</v>
      </c>
      <c r="R45" s="110">
        <f t="shared" si="8"/>
        <v>1.517313702900047</v>
      </c>
      <c r="S45" s="110">
        <f t="shared" si="3"/>
        <v>1.5173137029000476</v>
      </c>
    </row>
    <row r="46" spans="1:19" x14ac:dyDescent="0.25">
      <c r="A46">
        <f t="shared" ref="A46" si="29">A45+1</f>
        <v>57</v>
      </c>
      <c r="B46" s="2">
        <f t="shared" si="18"/>
        <v>19.885085841298572</v>
      </c>
      <c r="C46" s="2">
        <f t="shared" si="18"/>
        <v>19.789419628950778</v>
      </c>
      <c r="D46" s="2">
        <f t="shared" si="18"/>
        <v>19.980752053646363</v>
      </c>
      <c r="E46" s="1">
        <f t="shared" si="19"/>
        <v>0.94418051340449749</v>
      </c>
      <c r="F46" s="1">
        <f t="shared" si="19"/>
        <v>0.93909915588609916</v>
      </c>
      <c r="G46" s="1">
        <f t="shared" si="19"/>
        <v>0.94817876114457655</v>
      </c>
      <c r="H46" s="1">
        <f t="shared" si="4"/>
        <v>1.4832132430701166</v>
      </c>
      <c r="I46" s="1">
        <f t="shared" si="4"/>
        <v>1.482362514451971</v>
      </c>
      <c r="J46" s="1">
        <f t="shared" si="4"/>
        <v>1.4823625144519743</v>
      </c>
      <c r="K46" s="2">
        <f>Nursery!B41</f>
        <v>19.230588164223473</v>
      </c>
      <c r="L46" s="111">
        <f t="shared" si="5"/>
        <v>18.944532960508987</v>
      </c>
      <c r="M46" s="111">
        <f t="shared" si="6"/>
        <v>19.516643367937959</v>
      </c>
      <c r="N46" s="110">
        <f>Nursery!D41</f>
        <v>0.94363895851533786</v>
      </c>
      <c r="O46" s="110">
        <f t="shared" si="7"/>
        <v>0.92960231895934009</v>
      </c>
      <c r="P46" s="110">
        <f t="shared" si="7"/>
        <v>0.95767559807133551</v>
      </c>
      <c r="Q46" s="110">
        <f t="shared" si="8"/>
        <v>1.5328135362307531</v>
      </c>
      <c r="R46" s="110">
        <f t="shared" si="8"/>
        <v>1.5328135362307522</v>
      </c>
      <c r="S46" s="110">
        <f t="shared" si="3"/>
        <v>1.5328135362307538</v>
      </c>
    </row>
    <row r="47" spans="1:19" x14ac:dyDescent="0.25">
      <c r="A47">
        <f>Nursery!A42</f>
        <v>58</v>
      </c>
      <c r="B47" s="2">
        <f t="shared" si="18"/>
        <v>20.521663567270146</v>
      </c>
      <c r="C47" s="2">
        <f t="shared" si="18"/>
        <v>20.422934809435009</v>
      </c>
      <c r="D47" s="2">
        <f t="shared" si="18"/>
        <v>20.620392325105275</v>
      </c>
      <c r="E47" s="1">
        <f t="shared" si="19"/>
        <v>0.97419773042010305</v>
      </c>
      <c r="F47" s="1">
        <f t="shared" si="19"/>
        <v>0.96895482729766169</v>
      </c>
      <c r="G47" s="1">
        <f t="shared" si="19"/>
        <v>0.97832308973301407</v>
      </c>
      <c r="H47" s="1">
        <f t="shared" si="4"/>
        <v>1.4968503026173399</v>
      </c>
      <c r="I47" s="1">
        <f t="shared" si="4"/>
        <v>1.4959917521725725</v>
      </c>
      <c r="J47" s="1">
        <f t="shared" si="4"/>
        <v>1.4959917521725681</v>
      </c>
      <c r="K47" s="2">
        <f>Nursery!B42</f>
        <v>19.846213572148681</v>
      </c>
      <c r="L47" s="111">
        <f t="shared" si="5"/>
        <v>19.551000933935988</v>
      </c>
      <c r="M47" s="111">
        <f t="shared" si="6"/>
        <v>20.141426210361374</v>
      </c>
      <c r="N47" s="110">
        <f>Nursery!D42</f>
        <v>0.97363895851533788</v>
      </c>
      <c r="O47" s="110">
        <f t="shared" si="7"/>
        <v>0.95915606863989333</v>
      </c>
      <c r="P47" s="110">
        <f t="shared" si="7"/>
        <v>0.98812184839078232</v>
      </c>
      <c r="Q47" s="110">
        <f t="shared" si="8"/>
        <v>1.5469066341490885</v>
      </c>
      <c r="R47" s="110">
        <f t="shared" si="8"/>
        <v>1.5469066341490791</v>
      </c>
      <c r="S47" s="110">
        <f t="shared" si="3"/>
        <v>1.5469066341490887</v>
      </c>
    </row>
    <row r="48" spans="1:19" x14ac:dyDescent="0.25">
      <c r="A48">
        <f>A47+1</f>
        <v>59</v>
      </c>
      <c r="B48" s="2">
        <f t="shared" si="18"/>
        <v>21.172495336296517</v>
      </c>
      <c r="C48" s="2">
        <f t="shared" si="18"/>
        <v>21.070635457443586</v>
      </c>
      <c r="D48" s="2">
        <f t="shared" si="18"/>
        <v>21.274355215149445</v>
      </c>
      <c r="E48" s="1">
        <f t="shared" si="19"/>
        <v>0.99821150403258763</v>
      </c>
      <c r="F48" s="1">
        <f t="shared" si="19"/>
        <v>0.99283936442691167</v>
      </c>
      <c r="G48" s="1">
        <f t="shared" si="19"/>
        <v>1.002438552603764</v>
      </c>
      <c r="H48" s="1">
        <f t="shared" si="4"/>
        <v>1.5009971376739017</v>
      </c>
      <c r="I48" s="1">
        <f t="shared" si="4"/>
        <v>1.5001362087233614</v>
      </c>
      <c r="J48" s="1">
        <f t="shared" si="4"/>
        <v>1.5001362087233616</v>
      </c>
      <c r="K48" s="2">
        <f>Nursery!B43</f>
        <v>20.475623865583042</v>
      </c>
      <c r="L48" s="111">
        <f t="shared" si="5"/>
        <v>20.171048742553413</v>
      </c>
      <c r="M48" s="111">
        <f t="shared" si="6"/>
        <v>20.780198988612675</v>
      </c>
      <c r="N48" s="110">
        <f>Nursery!D43</f>
        <v>0.9976389585153379</v>
      </c>
      <c r="O48" s="110">
        <f t="shared" si="7"/>
        <v>0.98279906838433584</v>
      </c>
      <c r="P48" s="110">
        <f t="shared" si="7"/>
        <v>1.0124788486463399</v>
      </c>
      <c r="Q48" s="110">
        <f t="shared" si="8"/>
        <v>1.5511921439615954</v>
      </c>
      <c r="R48" s="110">
        <f t="shared" si="8"/>
        <v>1.5511921439615994</v>
      </c>
      <c r="S48" s="110">
        <f t="shared" si="3"/>
        <v>1.5511921439615997</v>
      </c>
    </row>
    <row r="49" spans="1:19" x14ac:dyDescent="0.25">
      <c r="A49" s="113">
        <v>60</v>
      </c>
      <c r="B49" s="114">
        <f>AVERAGE(C49:D49)</f>
        <v>21.837527586510877</v>
      </c>
      <c r="C49" s="114">
        <f>C6</f>
        <v>21.732468268793319</v>
      </c>
      <c r="D49" s="114">
        <f>D6</f>
        <v>21.942586904228435</v>
      </c>
      <c r="E49" s="115">
        <f>AVERAGE(F49:G49)</f>
        <v>0.99730721083837304</v>
      </c>
      <c r="F49" s="115">
        <f>F6</f>
        <v>0.99250921277241133</v>
      </c>
      <c r="G49" s="115">
        <f>G6</f>
        <v>1.0021052089043347</v>
      </c>
      <c r="H49" s="115">
        <f>AVERAGE(I49:J49)</f>
        <v>1.4996373642284397</v>
      </c>
      <c r="I49" s="115">
        <f>I6</f>
        <v>1.4996373642284397</v>
      </c>
      <c r="J49" s="115">
        <f>J6</f>
        <v>1.4996373642284397</v>
      </c>
      <c r="K49" s="114">
        <f>AVERAGE(L49:M49)</f>
        <v>21.118767245594924</v>
      </c>
      <c r="L49" s="114">
        <f>L6</f>
        <v>20.80462535793928</v>
      </c>
      <c r="M49" s="114">
        <f>M6</f>
        <v>21.432909133250568</v>
      </c>
      <c r="N49" s="115">
        <f t="shared" ref="N49" si="30">N6</f>
        <v>0.99673518399778904</v>
      </c>
      <c r="O49" s="115">
        <f>O6</f>
        <v>0.98190873752235919</v>
      </c>
      <c r="P49" s="115">
        <f>P6</f>
        <v>1.0115616304732189</v>
      </c>
      <c r="Q49" s="115">
        <f t="shared" ref="Q49" si="31">Q6</f>
        <v>1.549786898186494</v>
      </c>
      <c r="R49" s="115">
        <f>R6</f>
        <v>1.549786898186494</v>
      </c>
      <c r="S49" s="115">
        <f>S6</f>
        <v>1.549786898186494</v>
      </c>
    </row>
    <row r="50" spans="1:19" x14ac:dyDescent="0.25">
      <c r="A50">
        <v>61</v>
      </c>
      <c r="B50" s="1">
        <f>'337'!D49</f>
        <v>22.51948983261164</v>
      </c>
      <c r="C50" s="1">
        <f>'337'!B49</f>
        <v>22.432141441209328</v>
      </c>
      <c r="D50" s="1">
        <f>'337'!C49</f>
        <v>22.606838224013956</v>
      </c>
      <c r="E50" s="1">
        <f>'337'!G47</f>
        <v>0.97419773042010571</v>
      </c>
      <c r="F50" s="1">
        <f>'337'!E49</f>
        <v>1.0725077939630294</v>
      </c>
      <c r="G50" s="1">
        <f>'337'!F49</f>
        <v>1.0182107099521813</v>
      </c>
      <c r="H50" s="1">
        <f>'337'!J49</f>
        <v>1.5328696829401105</v>
      </c>
      <c r="I50" s="1">
        <f>'337'!I49</f>
        <v>1.5328696829401105</v>
      </c>
      <c r="J50" s="1">
        <f>'337'!H49</f>
        <v>1.5328696829401105</v>
      </c>
      <c r="K50" s="1">
        <v>21.472576287506378</v>
      </c>
      <c r="L50" s="1">
        <v>22.080784155972154</v>
      </c>
      <c r="M50" s="1">
        <v>21.776680221739266</v>
      </c>
      <c r="N50" s="1">
        <v>1.0380484674603809</v>
      </c>
      <c r="O50" s="1">
        <v>1.0068489235846532</v>
      </c>
      <c r="P50" s="1">
        <v>1.0224486955225172</v>
      </c>
      <c r="Q50" s="1">
        <v>1.5540789323149</v>
      </c>
      <c r="R50" s="1">
        <v>1.5540789323149</v>
      </c>
      <c r="S50" s="1">
        <v>1.5540789323149</v>
      </c>
    </row>
    <row r="52" spans="1:19" x14ac:dyDescent="0.25">
      <c r="A52" t="s">
        <v>91</v>
      </c>
      <c r="B52" s="122">
        <f>B47-B46</f>
        <v>0.63657772597157347</v>
      </c>
      <c r="C52" s="122">
        <f t="shared" ref="C52:S52" si="32">C47-C46</f>
        <v>0.63351518048423117</v>
      </c>
      <c r="D52" s="122">
        <f t="shared" si="32"/>
        <v>0.63964027145891222</v>
      </c>
      <c r="E52" s="31">
        <f t="shared" si="32"/>
        <v>3.0017217015605557E-2</v>
      </c>
      <c r="F52" s="31">
        <f t="shared" si="32"/>
        <v>2.9855671411562534E-2</v>
      </c>
      <c r="G52" s="31">
        <f t="shared" si="32"/>
        <v>3.0144328588437519E-2</v>
      </c>
      <c r="H52" s="31">
        <f t="shared" si="32"/>
        <v>1.3637059547223274E-2</v>
      </c>
      <c r="I52" s="31">
        <f t="shared" si="32"/>
        <v>1.3629237720601539E-2</v>
      </c>
      <c r="J52" s="31">
        <f t="shared" si="32"/>
        <v>1.3629237720593768E-2</v>
      </c>
      <c r="K52" s="31">
        <f t="shared" si="32"/>
        <v>0.61562540792520792</v>
      </c>
      <c r="L52" s="31">
        <f t="shared" si="32"/>
        <v>0.60646797342700154</v>
      </c>
      <c r="M52" s="31">
        <f t="shared" si="32"/>
        <v>0.62478284242341431</v>
      </c>
      <c r="N52" s="31">
        <f t="shared" si="32"/>
        <v>3.0000000000000027E-2</v>
      </c>
      <c r="O52" s="31">
        <f t="shared" si="32"/>
        <v>2.9553749680553243E-2</v>
      </c>
      <c r="P52" s="31">
        <f t="shared" si="32"/>
        <v>3.044625031944681E-2</v>
      </c>
      <c r="Q52" s="31">
        <f t="shared" si="32"/>
        <v>1.4093097918335351E-2</v>
      </c>
      <c r="R52" s="31">
        <f t="shared" si="32"/>
        <v>1.4093097918326913E-2</v>
      </c>
      <c r="S52" s="31">
        <f t="shared" si="32"/>
        <v>1.4093097918334907E-2</v>
      </c>
    </row>
    <row r="53" spans="1:19" x14ac:dyDescent="0.25">
      <c r="A53" t="s">
        <v>92</v>
      </c>
      <c r="B53" s="122">
        <f>B48-B47</f>
        <v>0.65083176902637163</v>
      </c>
      <c r="C53" s="122">
        <f t="shared" ref="C53:S53" si="33">C48-C47</f>
        <v>0.64770064800857696</v>
      </c>
      <c r="D53" s="122">
        <f t="shared" si="33"/>
        <v>0.65396289004416985</v>
      </c>
      <c r="E53" s="31">
        <f t="shared" si="33"/>
        <v>2.4013773612484579E-2</v>
      </c>
      <c r="F53" s="31">
        <f t="shared" si="33"/>
        <v>2.3884537129249983E-2</v>
      </c>
      <c r="G53" s="31">
        <f t="shared" si="33"/>
        <v>2.4115462870749949E-2</v>
      </c>
      <c r="H53" s="31">
        <f t="shared" si="33"/>
        <v>4.1468350565618817E-3</v>
      </c>
      <c r="I53" s="31">
        <f t="shared" si="33"/>
        <v>4.1444565507888775E-3</v>
      </c>
      <c r="J53" s="31">
        <f t="shared" si="33"/>
        <v>4.1444565507935405E-3</v>
      </c>
      <c r="K53" s="31">
        <f t="shared" si="33"/>
        <v>0.62941029343436128</v>
      </c>
      <c r="L53" s="31">
        <f t="shared" si="33"/>
        <v>0.62004780861742503</v>
      </c>
      <c r="M53" s="31">
        <f t="shared" si="33"/>
        <v>0.63877277825130108</v>
      </c>
      <c r="N53" s="31">
        <f t="shared" si="33"/>
        <v>2.4000000000000021E-2</v>
      </c>
      <c r="O53" s="31">
        <f t="shared" si="33"/>
        <v>2.3642999744442506E-2</v>
      </c>
      <c r="P53" s="31">
        <f t="shared" si="33"/>
        <v>2.4357000255557537E-2</v>
      </c>
      <c r="Q53" s="31">
        <f t="shared" si="33"/>
        <v>4.2855098125069713E-3</v>
      </c>
      <c r="R53" s="31">
        <f t="shared" si="33"/>
        <v>4.2855098125202939E-3</v>
      </c>
      <c r="S53" s="31">
        <f t="shared" si="33"/>
        <v>4.2855098125109681E-3</v>
      </c>
    </row>
    <row r="54" spans="1:19" x14ac:dyDescent="0.25">
      <c r="A54" t="s">
        <v>93</v>
      </c>
      <c r="B54" s="122">
        <f>B49-B48</f>
        <v>0.66503225021435952</v>
      </c>
      <c r="C54" s="122">
        <f t="shared" ref="C54:S54" si="34">C49-C48</f>
        <v>0.66183281134973271</v>
      </c>
      <c r="D54" s="122">
        <f t="shared" si="34"/>
        <v>0.66823168907898989</v>
      </c>
      <c r="E54" s="31">
        <f t="shared" si="34"/>
        <v>-9.0429319421458931E-4</v>
      </c>
      <c r="F54" s="31">
        <f t="shared" si="34"/>
        <v>-3.3015165450034356E-4</v>
      </c>
      <c r="G54" s="31">
        <f t="shared" si="34"/>
        <v>-3.3334369942927822E-4</v>
      </c>
      <c r="H54" s="31">
        <f t="shared" si="34"/>
        <v>-1.3597734454620092E-3</v>
      </c>
      <c r="I54" s="31">
        <f t="shared" si="34"/>
        <v>-4.988444949216575E-4</v>
      </c>
      <c r="J54" s="31">
        <f t="shared" si="34"/>
        <v>-4.9884449492187954E-4</v>
      </c>
      <c r="K54" s="31">
        <f t="shared" si="34"/>
        <v>0.64314338001188176</v>
      </c>
      <c r="L54" s="31">
        <f t="shared" si="34"/>
        <v>0.6335766153858664</v>
      </c>
      <c r="M54" s="31">
        <f t="shared" si="34"/>
        <v>0.65271014463789356</v>
      </c>
      <c r="N54" s="31">
        <f t="shared" si="34"/>
        <v>-9.0377451754886096E-4</v>
      </c>
      <c r="O54" s="31">
        <f t="shared" si="34"/>
        <v>-8.9033086197665146E-4</v>
      </c>
      <c r="P54" s="31">
        <f t="shared" si="34"/>
        <v>-9.1721817312095943E-4</v>
      </c>
      <c r="Q54" s="31">
        <f t="shared" si="34"/>
        <v>-1.4052457751014824E-3</v>
      </c>
      <c r="R54" s="31">
        <f t="shared" si="34"/>
        <v>-1.4052457751054792E-3</v>
      </c>
      <c r="S54" s="31">
        <f t="shared" si="34"/>
        <v>-1.4052457751057013E-3</v>
      </c>
    </row>
    <row r="55" spans="1:19" x14ac:dyDescent="0.25">
      <c r="A55" s="74" t="s">
        <v>94</v>
      </c>
      <c r="B55" s="122">
        <f>B50-B49</f>
        <v>0.68196224610076328</v>
      </c>
      <c r="C55" s="122">
        <f t="shared" ref="C55:S55" si="35">C50-C49</f>
        <v>0.69967317241600924</v>
      </c>
      <c r="D55" s="122">
        <f t="shared" si="35"/>
        <v>0.66425131978552088</v>
      </c>
      <c r="E55" s="31">
        <f t="shared" si="35"/>
        <v>-2.3109480418267325E-2</v>
      </c>
      <c r="F55" s="31">
        <f t="shared" si="35"/>
        <v>7.999858119061809E-2</v>
      </c>
      <c r="G55" s="31">
        <f t="shared" si="35"/>
        <v>1.6105501047846582E-2</v>
      </c>
      <c r="H55" s="31">
        <f t="shared" si="35"/>
        <v>3.3232318711670761E-2</v>
      </c>
      <c r="I55" s="31">
        <f t="shared" si="35"/>
        <v>3.3232318711670761E-2</v>
      </c>
      <c r="J55" s="31">
        <f t="shared" si="35"/>
        <v>3.3232318711670761E-2</v>
      </c>
      <c r="K55" s="31">
        <f t="shared" si="35"/>
        <v>0.3538090419114539</v>
      </c>
      <c r="L55" s="31">
        <f t="shared" si="35"/>
        <v>1.2761587980328741</v>
      </c>
      <c r="M55" s="31">
        <f t="shared" si="35"/>
        <v>0.34377108848869753</v>
      </c>
      <c r="N55" s="31">
        <f t="shared" si="35"/>
        <v>4.1313283462591888E-2</v>
      </c>
      <c r="O55" s="31">
        <f t="shared" si="35"/>
        <v>2.4940186062293979E-2</v>
      </c>
      <c r="P55" s="31">
        <f t="shared" si="35"/>
        <v>1.0887065049298261E-2</v>
      </c>
      <c r="Q55" s="31">
        <f t="shared" si="35"/>
        <v>4.2920341284060637E-3</v>
      </c>
      <c r="R55" s="31">
        <f t="shared" si="35"/>
        <v>4.2920341284060637E-3</v>
      </c>
      <c r="S55" s="31">
        <f t="shared" si="35"/>
        <v>4.2920341284060637E-3</v>
      </c>
    </row>
  </sheetData>
  <mergeCells count="9">
    <mergeCell ref="B1:S1"/>
    <mergeCell ref="B2:J2"/>
    <mergeCell ref="K2:S2"/>
    <mergeCell ref="B3:D3"/>
    <mergeCell ref="E3:G3"/>
    <mergeCell ref="H3:J3"/>
    <mergeCell ref="K3:M3"/>
    <mergeCell ref="N3:P3"/>
    <mergeCell ref="Q3:S3"/>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CF168-2716-4479-BC13-B1C6A066D9DA}">
  <sheetPr codeName="Sheet12"/>
  <dimension ref="A1:Q213"/>
  <sheetViews>
    <sheetView zoomScale="119" workbookViewId="0">
      <selection activeCell="J4" sqref="J4"/>
    </sheetView>
  </sheetViews>
  <sheetFormatPr defaultRowHeight="15" x14ac:dyDescent="0.25"/>
  <cols>
    <col min="1" max="1" width="9.85546875" bestFit="1" customWidth="1"/>
    <col min="2" max="2" width="15.5703125" bestFit="1" customWidth="1"/>
    <col min="3" max="3" width="12.5703125" bestFit="1" customWidth="1"/>
    <col min="7" max="7" width="17.85546875" bestFit="1" customWidth="1"/>
    <col min="9" max="9" width="15.5703125" bestFit="1" customWidth="1"/>
    <col min="10" max="10" width="12.5703125" bestFit="1" customWidth="1"/>
    <col min="11" max="12" width="7.5703125" bestFit="1" customWidth="1"/>
    <col min="13" max="13" width="8.7109375" bestFit="1" customWidth="1"/>
    <col min="14" max="14" width="17.85546875" bestFit="1" customWidth="1"/>
  </cols>
  <sheetData>
    <row r="1" spans="1:14" x14ac:dyDescent="0.25">
      <c r="A1" s="132">
        <v>337</v>
      </c>
      <c r="B1" s="132" t="s">
        <v>67</v>
      </c>
      <c r="C1" s="239" t="str">
        <f>'Adj-Mixed'!A17</f>
        <v>High energy diet</v>
      </c>
      <c r="D1" s="239"/>
      <c r="E1" s="239"/>
      <c r="F1" s="239"/>
      <c r="G1" s="239"/>
      <c r="I1" s="120" t="str">
        <f>B1</f>
        <v>Mixed Gender</v>
      </c>
      <c r="J1" s="240" t="s">
        <v>84</v>
      </c>
      <c r="K1" s="241"/>
      <c r="L1" s="241"/>
      <c r="M1" s="241"/>
      <c r="N1" s="242"/>
    </row>
    <row r="2" spans="1:14" ht="15" customHeight="1" x14ac:dyDescent="0.25">
      <c r="A2" s="133" t="s">
        <v>13</v>
      </c>
      <c r="B2" s="133" t="s">
        <v>83</v>
      </c>
      <c r="C2" s="132" t="s">
        <v>15</v>
      </c>
      <c r="D2" s="132" t="s">
        <v>79</v>
      </c>
      <c r="E2" s="132" t="s">
        <v>80</v>
      </c>
      <c r="F2" s="132" t="s">
        <v>81</v>
      </c>
      <c r="G2" s="132" t="s">
        <v>82</v>
      </c>
      <c r="I2" s="134" t="str">
        <f>B2</f>
        <v>Body Weight, kg</v>
      </c>
      <c r="J2" s="120" t="str">
        <f>C2</f>
        <v>Est. ADG, g/d</v>
      </c>
      <c r="K2" s="120" t="str">
        <f t="shared" ref="K2:N2" si="0">D2</f>
        <v>Est. G:F</v>
      </c>
      <c r="L2" s="120" t="str">
        <f t="shared" si="0"/>
        <v>Est. F:G</v>
      </c>
      <c r="M2" s="120" t="str">
        <f t="shared" si="0"/>
        <v>Est. ADFI</v>
      </c>
      <c r="N2" s="120" t="str">
        <f t="shared" si="0"/>
        <v>Ac. Feed intake, kg</v>
      </c>
    </row>
    <row r="3" spans="1:14" ht="15" customHeight="1" x14ac:dyDescent="0.25">
      <c r="A3" s="121">
        <f>'Кормовой бюджет'!C5</f>
        <v>21</v>
      </c>
      <c r="B3" s="28">
        <f>IF(A3&gt;200,"",IF($C$1='Adj-Mixed'!$A$21,VLOOKUP(A3,'337'!$A$6:$AB$188,4,FALSE),IF($C$1='Adj-Mixed'!$A$20,VLOOKUP(A3,'337'!$A$6:$AB$188,13,FALSE),IF($C$1='Adj-Mixed'!$A$19,VLOOKUP(A3,'337'!$A$6:$AB$188,22,FALSE)))))</f>
        <v>5.9372718345589277</v>
      </c>
      <c r="C3" s="26"/>
      <c r="D3" s="23"/>
      <c r="E3" s="27"/>
      <c r="F3" s="27"/>
      <c r="G3" s="24"/>
      <c r="I3" s="138">
        <f>'I-Mixed'!C9</f>
        <v>6</v>
      </c>
      <c r="J3" s="23"/>
      <c r="K3" s="23"/>
      <c r="L3" s="23"/>
      <c r="M3" s="24"/>
      <c r="N3" s="24"/>
    </row>
    <row r="4" spans="1:14" ht="15" customHeight="1" x14ac:dyDescent="0.25">
      <c r="A4" s="22">
        <f>A3+1</f>
        <v>22</v>
      </c>
      <c r="B4" s="28">
        <f>IF(A4&gt;200,"",IF($C$1='Adj-Mixed'!$A$21,VLOOKUP(A4,'337'!$A$6:$AB$188,4,FALSE),IF($C$1='Adj-Mixed'!$A$20,VLOOKUP(A4,'337'!$A$6:$AB$188,13,FALSE),IF($C$1='Adj-Mixed'!$A$19,VLOOKUP(A4,'337'!$A$6:$AB$188,22,FALSE)))))</f>
        <v>6.0180857303653976</v>
      </c>
      <c r="C4" s="26">
        <f>IF(A4&gt;200,"",(B4-B3)*1000)</f>
        <v>80.813895806469915</v>
      </c>
      <c r="D4" s="27">
        <f>IF(A4&gt;200,"",1/E4)</f>
        <v>1.0033408808412787</v>
      </c>
      <c r="E4" s="27">
        <f>IF(A4&gt;200,"",IF($C$1='Adj-Mixed'!$A$21,VLOOKUP(A4,'337'!$A$7:$AB$188,10,FALSE),IF($C$1='Adj-Mixed'!$A$20,VLOOKUP(A4,'337'!$A$7:$AB$188,19,FALSE),IF($C$1='Adj-Mixed'!$A$19,VLOOKUP(A4,'337'!$A$7:$AB$188,28,FALSE)))))</f>
        <v>0.9966702434784902</v>
      </c>
      <c r="F4" s="27">
        <f>IF(A4&gt;200,"",IF($C$1='Adj-Mixed'!$A$21,VLOOKUP(A4,'337'!$A$7:$AB$188,7,FALSE),IF($C$1='Adj-Mixed'!$A$20,VLOOKUP(A4,'337'!$A$7:$AB$188,16,FALSE),IF($C$1='Adj-Mixed'!$A$19,VLOOKUP(A4,'337'!$A$7:$AB$188,25,FALSE)))))</f>
        <v>8.0544805209880596E-2</v>
      </c>
      <c r="G4" s="27">
        <f>IF(A4&gt;200,"",F4)</f>
        <v>8.0544805209880596E-2</v>
      </c>
      <c r="I4" s="136">
        <f t="shared" ref="I4:I35" si="1">IF(A4&gt;200,"",I3+(J4/1000))</f>
        <v>6.0890879786902508</v>
      </c>
      <c r="J4" s="26">
        <f>IF(A4&gt;200,"",(C4*'Adj-Mixed'!$C$6))</f>
        <v>89.087978690251191</v>
      </c>
      <c r="K4" s="27">
        <f>IF(A4&gt;200,"",D4*'Adj-Mixed'!$C$7)</f>
        <v>0.89077572410649619</v>
      </c>
      <c r="L4" s="1">
        <f t="shared" ref="L4:L35" si="2">IF(A4&gt;200,"",1/K4)</f>
        <v>1.1226170324781388</v>
      </c>
      <c r="M4" s="27">
        <f t="shared" ref="M4:M35" si="3">IF(A4&gt;200,"",(J4/1000)/K4)</f>
        <v>0.10001168226672545</v>
      </c>
      <c r="N4" s="122">
        <f>M4</f>
        <v>0.10001168226672545</v>
      </c>
    </row>
    <row r="5" spans="1:14" ht="15" customHeight="1" x14ac:dyDescent="0.25">
      <c r="A5" s="22">
        <f t="shared" ref="A5:A68" si="4">A4+1</f>
        <v>23</v>
      </c>
      <c r="B5" s="28">
        <f>IF(A5&gt;200,"",IF($C$1='Adj-Mixed'!$A$21,VLOOKUP(A5,'337'!$A$6:$AB$188,4,FALSE),IF($C$1='Adj-Mixed'!$A$20,VLOOKUP(A5,'337'!$A$6:$AB$188,13,FALSE),IF($C$1='Adj-Mixed'!$A$19,VLOOKUP(A5,'337'!$A$6:$AB$188,22,FALSE)))))</f>
        <v>6.1225387460131131</v>
      </c>
      <c r="C5" s="26">
        <f t="shared" ref="C5:C68" si="5">IF(A5&gt;200,"",(B5-B4)*1000)</f>
        <v>104.45301564771547</v>
      </c>
      <c r="D5" s="27">
        <f t="shared" ref="D5:D68" si="6">IF(A5&gt;200,"",1/E5)</f>
        <v>0.99369337237166022</v>
      </c>
      <c r="E5" s="27">
        <f>IF(A5&gt;200,"",IF($C$1='Adj-Mixed'!$A$21,VLOOKUP(A5,'337'!$A$7:$AB$188,10,FALSE),IF($C$1='Adj-Mixed'!$A$20,VLOOKUP(A5,'337'!$A$7:$AB$188,19,FALSE),IF($C$1='Adj-Mixed'!$A$19,VLOOKUP(A5,'337'!$A$7:$AB$188,28,FALSE)))))</f>
        <v>1.0063466536093399</v>
      </c>
      <c r="F5" s="27">
        <f>IF(A5&gt;200,"",IF($C$1='Adj-Mixed'!$A$21,VLOOKUP(A5,'337'!$A$7:$AB$188,7,FALSE),IF($C$1='Adj-Mixed'!$A$20,VLOOKUP(A5,'337'!$A$7:$AB$188,16,FALSE),IF($C$1='Adj-Mixed'!$A$19,VLOOKUP(A5,'337'!$A$7:$AB$188,25,FALSE)))))</f>
        <v>0.10511594275648159</v>
      </c>
      <c r="G5" s="27">
        <f>IF(A5&gt;200,"",F5+G4)</f>
        <v>0.18566074796636217</v>
      </c>
      <c r="I5" s="136">
        <f t="shared" si="1"/>
        <v>6.2042353545133473</v>
      </c>
      <c r="J5" s="26">
        <f>IF(A5&gt;200,"",(C5*'Adj-Mixed'!$C$6))</f>
        <v>115.14737582309647</v>
      </c>
      <c r="K5" s="27">
        <f>IF(A5&gt;200,"",D5*'Adj-Mixed'!$C$7)</f>
        <v>0.88221057291317262</v>
      </c>
      <c r="L5" s="1">
        <f t="shared" si="2"/>
        <v>1.1335162269682073</v>
      </c>
      <c r="M5" s="27">
        <f t="shared" si="3"/>
        <v>0.13052141898828648</v>
      </c>
      <c r="N5" s="122">
        <f t="shared" ref="N5:N36" si="7">IF(A5&gt;200,"",N4+M5)</f>
        <v>0.23053310125501192</v>
      </c>
    </row>
    <row r="6" spans="1:14" ht="15" customHeight="1" x14ac:dyDescent="0.25">
      <c r="A6" s="22">
        <f t="shared" si="4"/>
        <v>24</v>
      </c>
      <c r="B6" s="28">
        <f>IF(A6&gt;200,"",IF($C$1='Adj-Mixed'!$A$21,VLOOKUP(A6,'337'!$A$6:$AB$188,4,FALSE),IF($C$1='Adj-Mixed'!$A$20,VLOOKUP(A6,'337'!$A$6:$AB$188,13,FALSE),IF($C$1='Adj-Mixed'!$A$19,VLOOKUP(A6,'337'!$A$6:$AB$188,22,FALSE)))))</f>
        <v>6.2500680453153716</v>
      </c>
      <c r="C6" s="26">
        <f t="shared" si="5"/>
        <v>127.52929930225854</v>
      </c>
      <c r="D6" s="27">
        <f t="shared" si="6"/>
        <v>0.98422962596811137</v>
      </c>
      <c r="E6" s="27">
        <f>IF(A6&gt;200,"",IF($C$1='Adj-Mixed'!$A$21,VLOOKUP(A6,'337'!$A$7:$AB$188,10,FALSE),IF($C$1='Adj-Mixed'!$A$20,VLOOKUP(A6,'337'!$A$7:$AB$188,19,FALSE),IF($C$1='Adj-Mixed'!$A$19,VLOOKUP(A6,'337'!$A$7:$AB$188,28,FALSE)))))</f>
        <v>1.0160230637402086</v>
      </c>
      <c r="F6" s="27">
        <f>IF(A6&gt;200,"",IF($C$1='Adj-Mixed'!$A$21,VLOOKUP(A6,'337'!$A$7:$AB$188,7,FALSE),IF($C$1='Adj-Mixed'!$A$20,VLOOKUP(A6,'337'!$A$7:$AB$188,16,FALSE),IF($C$1='Adj-Mixed'!$A$19,VLOOKUP(A6,'337'!$A$7:$AB$188,25,FALSE)))))</f>
        <v>0.12957270939372367</v>
      </c>
      <c r="G6" s="27">
        <f t="shared" ref="G6:G69" si="8">IF(A6&gt;200,"",F6+G5)</f>
        <v>0.31523345736008584</v>
      </c>
      <c r="I6" s="136">
        <f t="shared" si="1"/>
        <v>6.3448216656327858</v>
      </c>
      <c r="J6" s="26">
        <f>IF(A6&gt;200,"",(C6*'Adj-Mixed'!$C$6))</f>
        <v>140.58631111943862</v>
      </c>
      <c r="K6" s="27">
        <f>IF(A6&gt;200,"",D6*'Adj-Mixed'!$C$7)</f>
        <v>0.87380856745684854</v>
      </c>
      <c r="L6" s="1">
        <f t="shared" si="2"/>
        <v>1.1444154214582969</v>
      </c>
      <c r="M6" s="27">
        <f t="shared" si="3"/>
        <v>0.1608891424910196</v>
      </c>
      <c r="N6" s="122">
        <f t="shared" si="7"/>
        <v>0.39142224374603152</v>
      </c>
    </row>
    <row r="7" spans="1:14" ht="15" customHeight="1" x14ac:dyDescent="0.25">
      <c r="A7" s="22">
        <f t="shared" si="4"/>
        <v>25</v>
      </c>
      <c r="B7" s="28">
        <f>IF(A7&gt;200,"",IF($C$1='Adj-Mixed'!$A$21,VLOOKUP(A7,'337'!$A$6:$AB$188,4,FALSE),IF($C$1='Adj-Mixed'!$A$20,VLOOKUP(A7,'337'!$A$6:$AB$188,13,FALSE),IF($C$1='Adj-Mixed'!$A$19,VLOOKUP(A7,'337'!$A$6:$AB$188,22,FALSE)))))</f>
        <v>6.4001107920854832</v>
      </c>
      <c r="C7" s="26">
        <f t="shared" si="5"/>
        <v>150.04274677011153</v>
      </c>
      <c r="D7" s="27">
        <f t="shared" si="6"/>
        <v>0.97494444081747833</v>
      </c>
      <c r="E7" s="27">
        <f>IF(A7&gt;200,"",IF($C$1='Adj-Mixed'!$A$21,VLOOKUP(A7,'337'!$A$7:$AB$188,10,FALSE),IF($C$1='Adj-Mixed'!$A$20,VLOOKUP(A7,'337'!$A$7:$AB$188,19,FALSE),IF($C$1='Adj-Mixed'!$A$19,VLOOKUP(A7,'337'!$A$7:$AB$188,28,FALSE)))))</f>
        <v>1.0256994738710576</v>
      </c>
      <c r="F7" s="27">
        <f>IF(A7&gt;200,"",IF($C$1='Adj-Mixed'!$A$21,VLOOKUP(A7,'337'!$A$7:$AB$188,7,FALSE),IF($C$1='Adj-Mixed'!$A$20,VLOOKUP(A7,'337'!$A$7:$AB$188,16,FALSE),IF($C$1='Adj-Mixed'!$A$19,VLOOKUP(A7,'337'!$A$7:$AB$188,25,FALSE)))))</f>
        <v>0.15389876642027128</v>
      </c>
      <c r="G7" s="27">
        <f t="shared" si="8"/>
        <v>0.46913222378035713</v>
      </c>
      <c r="I7" s="136">
        <f t="shared" si="1"/>
        <v>6.5102264502120768</v>
      </c>
      <c r="J7" s="26">
        <f>IF(A7&gt;200,"",(C7*'Adj-Mixed'!$C$6))</f>
        <v>165.40478457929134</v>
      </c>
      <c r="K7" s="27">
        <f>IF(A7&gt;200,"",D7*'Adj-Mixed'!$C$7)</f>
        <v>0.86556509040537732</v>
      </c>
      <c r="L7" s="1">
        <f t="shared" si="2"/>
        <v>1.1553146159483647</v>
      </c>
      <c r="M7" s="27">
        <f t="shared" si="3"/>
        <v>0.19109456517224596</v>
      </c>
      <c r="N7" s="122">
        <f t="shared" si="7"/>
        <v>0.58251680891827751</v>
      </c>
    </row>
    <row r="8" spans="1:14" ht="15" customHeight="1" x14ac:dyDescent="0.25">
      <c r="A8" s="22">
        <f t="shared" si="4"/>
        <v>26</v>
      </c>
      <c r="B8" s="28">
        <f>IF(A8&gt;200,"",IF($C$1='Adj-Mixed'!$A$21,VLOOKUP(A8,'337'!$A$6:$AB$188,4,FALSE),IF($C$1='Adj-Mixed'!$A$20,VLOOKUP(A8,'337'!$A$6:$AB$188,13,FALSE),IF($C$1='Adj-Mixed'!$A$19,VLOOKUP(A8,'337'!$A$6:$AB$188,22,FALSE)))))</f>
        <v>6.572104150136747</v>
      </c>
      <c r="C8" s="26">
        <f t="shared" si="5"/>
        <v>171.99335805126381</v>
      </c>
      <c r="D8" s="27">
        <f t="shared" si="6"/>
        <v>0.95688991413566415</v>
      </c>
      <c r="E8" s="27">
        <f>IF(A8&gt;200,"",IF($C$1='Adj-Mixed'!$A$21,VLOOKUP(A8,'337'!$A$7:$AB$188,10,FALSE),IF($C$1='Adj-Mixed'!$A$20,VLOOKUP(A8,'337'!$A$7:$AB$188,19,FALSE),IF($C$1='Adj-Mixed'!$A$19,VLOOKUP(A8,'337'!$A$7:$AB$188,28,FALSE)))))</f>
        <v>1.0450522941327856</v>
      </c>
      <c r="F8" s="27">
        <f>IF(A8&gt;200,"",IF($C$1='Adj-Mixed'!$A$21,VLOOKUP(A8,'337'!$A$7:$AB$188,7,FALSE),IF($C$1='Adj-Mixed'!$A$20,VLOOKUP(A8,'337'!$A$7:$AB$188,16,FALSE),IF($C$1='Adj-Mixed'!$A$19,VLOOKUP(A8,'337'!$A$7:$AB$188,25,FALSE)))))</f>
        <v>0.17974205340707533</v>
      </c>
      <c r="G8" s="27">
        <f t="shared" si="8"/>
        <v>0.64887427718743251</v>
      </c>
      <c r="I8" s="136">
        <f t="shared" si="1"/>
        <v>6.69982924641472</v>
      </c>
      <c r="J8" s="26">
        <f>IF(A8&gt;200,"",(C8*'Adj-Mixed'!$C$6))</f>
        <v>189.60279620264291</v>
      </c>
      <c r="K8" s="27">
        <f>IF(A8&gt;200,"",D8*'Adj-Mixed'!$C$7)</f>
        <v>0.84953610724971418</v>
      </c>
      <c r="L8" s="1">
        <f t="shared" si="2"/>
        <v>1.1771130049285334</v>
      </c>
      <c r="M8" s="27">
        <f t="shared" si="3"/>
        <v>0.22318391718094535</v>
      </c>
      <c r="N8" s="122">
        <f t="shared" si="7"/>
        <v>0.80570072609922283</v>
      </c>
    </row>
    <row r="9" spans="1:14" ht="15" customHeight="1" x14ac:dyDescent="0.25">
      <c r="A9" s="22">
        <f t="shared" si="4"/>
        <v>27</v>
      </c>
      <c r="B9" s="28">
        <f>IF(A9&gt;200,"",IF($C$1='Adj-Mixed'!$A$21,VLOOKUP(A9,'337'!$A$6:$AB$188,4,FALSE),IF($C$1='Adj-Mixed'!$A$20,VLOOKUP(A9,'337'!$A$6:$AB$188,13,FALSE),IF($C$1='Adj-Mixed'!$A$19,VLOOKUP(A9,'337'!$A$6:$AB$188,22,FALSE)))))</f>
        <v>6.7654852832824695</v>
      </c>
      <c r="C9" s="26">
        <f t="shared" si="5"/>
        <v>193.38113314572246</v>
      </c>
      <c r="D9" s="27">
        <f t="shared" si="6"/>
        <v>0.94444487340448513</v>
      </c>
      <c r="E9" s="27">
        <f>IF(A9&gt;200,"",IF($C$1='Adj-Mixed'!$A$21,VLOOKUP(A9,'337'!$A$7:$AB$188,10,FALSE),IF($C$1='Adj-Mixed'!$A$20,VLOOKUP(A9,'337'!$A$7:$AB$188,19,FALSE),IF($C$1='Adj-Mixed'!$A$19,VLOOKUP(A9,'337'!$A$7:$AB$188,28,FALSE)))))</f>
        <v>1.0588230485017645</v>
      </c>
      <c r="F9" s="27">
        <f>IF(A9&gt;200,"",IF($C$1='Adj-Mixed'!$A$21,VLOOKUP(A9,'337'!$A$7:$AB$188,7,FALSE),IF($C$1='Adj-Mixed'!$A$20,VLOOKUP(A9,'337'!$A$7:$AB$188,16,FALSE),IF($C$1='Adj-Mixed'!$A$19,VLOOKUP(A9,'337'!$A$7:$AB$188,25,FALSE)))))</f>
        <v>0.20475640092007946</v>
      </c>
      <c r="G9" s="27">
        <f t="shared" si="8"/>
        <v>0.85363067810751203</v>
      </c>
      <c r="I9" s="136">
        <f t="shared" si="1"/>
        <v>6.9130095924042214</v>
      </c>
      <c r="J9" s="26">
        <f>IF(A9&gt;200,"",(C9*'Adj-Mixed'!$C$6))</f>
        <v>213.18034598950112</v>
      </c>
      <c r="K9" s="27">
        <f>IF(A9&gt;200,"",D9*'Adj-Mixed'!$C$7)</f>
        <v>0.8384872798964863</v>
      </c>
      <c r="L9" s="1">
        <f t="shared" si="2"/>
        <v>1.1926239359569688</v>
      </c>
      <c r="M9" s="27">
        <f t="shared" si="3"/>
        <v>0.25424398330266723</v>
      </c>
      <c r="N9" s="122">
        <f t="shared" si="7"/>
        <v>1.0599447094018901</v>
      </c>
    </row>
    <row r="10" spans="1:14" ht="15" customHeight="1" x14ac:dyDescent="0.25">
      <c r="A10" s="22">
        <f t="shared" si="4"/>
        <v>28</v>
      </c>
      <c r="B10" s="28">
        <f>IF(A10&gt;200,"",IF($C$1='Adj-Mixed'!$A$21,VLOOKUP(A10,'337'!$A$6:$AB$188,4,FALSE),IF($C$1='Adj-Mixed'!$A$20,VLOOKUP(A10,'337'!$A$6:$AB$188,13,FALSE),IF($C$1='Adj-Mixed'!$A$19,VLOOKUP(A10,'337'!$A$6:$AB$188,22,FALSE)))))</f>
        <v>6.9796913553359534</v>
      </c>
      <c r="C10" s="26">
        <f t="shared" si="5"/>
        <v>214.20607205348398</v>
      </c>
      <c r="D10" s="27">
        <f t="shared" si="6"/>
        <v>0.93225997440604125</v>
      </c>
      <c r="E10" s="27">
        <f>IF(A10&gt;200,"",IF($C$1='Adj-Mixed'!$A$21,VLOOKUP(A10,'337'!$A$7:$AB$188,10,FALSE),IF($C$1='Adj-Mixed'!$A$20,VLOOKUP(A10,'337'!$A$7:$AB$188,19,FALSE),IF($C$1='Adj-Mixed'!$A$19,VLOOKUP(A10,'337'!$A$7:$AB$188,28,FALSE)))))</f>
        <v>1.0726621623298984</v>
      </c>
      <c r="F10" s="27">
        <f>IF(A10&gt;200,"",IF($C$1='Adj-Mixed'!$A$21,VLOOKUP(A10,'337'!$A$7:$AB$188,7,FALSE),IF($C$1='Adj-Mixed'!$A$20,VLOOKUP(A10,'337'!$A$7:$AB$188,16,FALSE),IF($C$1='Adj-Mixed'!$A$19,VLOOKUP(A10,'337'!$A$7:$AB$188,25,FALSE)))))</f>
        <v>0.22977074843308365</v>
      </c>
      <c r="G10" s="27">
        <f t="shared" si="8"/>
        <v>1.0834014265405956</v>
      </c>
      <c r="I10" s="136">
        <f>IF(A10&gt;200,"",I9+(J10/1000))</f>
        <v>7.1491470263440835</v>
      </c>
      <c r="J10" s="26">
        <f>IF(A10&gt;200,"",(C10*'Adj-Mixed'!$C$6))</f>
        <v>236.13743393986215</v>
      </c>
      <c r="K10" s="27">
        <f>IF(A10&gt;200,"",D10*'Adj-Mixed'!$C$7)</f>
        <v>0.82766940888598539</v>
      </c>
      <c r="L10" s="1">
        <f t="shared" si="2"/>
        <v>1.2082118648627664</v>
      </c>
      <c r="M10" s="27">
        <f t="shared" si="3"/>
        <v>0.28530404942438914</v>
      </c>
      <c r="N10" s="122">
        <f t="shared" si="7"/>
        <v>1.3452487588262794</v>
      </c>
    </row>
    <row r="11" spans="1:14" ht="15" customHeight="1" x14ac:dyDescent="0.25">
      <c r="A11" s="22">
        <f t="shared" si="4"/>
        <v>29</v>
      </c>
      <c r="B11" s="28">
        <f>IF(A11&gt;200,"",IF($C$1='Adj-Mixed'!$A$21,VLOOKUP(A11,'337'!$A$6:$AB$188,4,FALSE),IF($C$1='Adj-Mixed'!$A$20,VLOOKUP(A11,'337'!$A$6:$AB$188,13,FALSE),IF($C$1='Adj-Mixed'!$A$19,VLOOKUP(A11,'337'!$A$6:$AB$188,22,FALSE)))))</f>
        <v>7.2141595301105026</v>
      </c>
      <c r="C11" s="26">
        <f t="shared" si="5"/>
        <v>234.46817477454917</v>
      </c>
      <c r="D11" s="27">
        <f t="shared" si="6"/>
        <v>0.92025859638258212</v>
      </c>
      <c r="E11" s="27">
        <f>IF(A11&gt;200,"",IF($C$1='Adj-Mixed'!$A$21,VLOOKUP(A11,'337'!$A$7:$AB$188,10,FALSE),IF($C$1='Adj-Mixed'!$A$20,VLOOKUP(A11,'337'!$A$7:$AB$188,19,FALSE),IF($C$1='Adj-Mixed'!$A$19,VLOOKUP(A11,'337'!$A$7:$AB$188,28,FALSE)))))</f>
        <v>1.0866510825662168</v>
      </c>
      <c r="F11" s="27">
        <f>IF(A11&gt;200,"",IF($C$1='Adj-Mixed'!$A$21,VLOOKUP(A11,'337'!$A$7:$AB$188,7,FALSE),IF($C$1='Adj-Mixed'!$A$20,VLOOKUP(A11,'337'!$A$7:$AB$188,16,FALSE),IF($C$1='Adj-Mixed'!$A$19,VLOOKUP(A11,'337'!$A$7:$AB$188,25,FALSE)))))</f>
        <v>0.25478509594608878</v>
      </c>
      <c r="G11" s="27">
        <f t="shared" si="8"/>
        <v>1.3381865224866845</v>
      </c>
      <c r="I11" s="136">
        <f t="shared" si="1"/>
        <v>7.4076210863978105</v>
      </c>
      <c r="J11" s="26">
        <f>IF(A11&gt;200,"",(C11*'Adj-Mixed'!$C$6))</f>
        <v>258.47406005372687</v>
      </c>
      <c r="K11" s="27">
        <f>IF(A11&gt;200,"",D11*'Adj-Mixed'!$C$7)</f>
        <v>0.8170144695694902</v>
      </c>
      <c r="L11" s="1">
        <f t="shared" si="2"/>
        <v>1.2239685308473551</v>
      </c>
      <c r="M11" s="27">
        <f t="shared" si="3"/>
        <v>0.3163641155461111</v>
      </c>
      <c r="N11" s="122">
        <f t="shared" si="7"/>
        <v>1.6616128743723904</v>
      </c>
    </row>
    <row r="12" spans="1:14" ht="15" customHeight="1" x14ac:dyDescent="0.25">
      <c r="A12" s="22">
        <f t="shared" si="4"/>
        <v>30</v>
      </c>
      <c r="B12" s="28">
        <f>IF(A12&gt;200,"",IF($C$1='Adj-Mixed'!$A$21,VLOOKUP(A12,'337'!$A$6:$AB$188,4,FALSE),IF($C$1='Adj-Mixed'!$A$20,VLOOKUP(A12,'337'!$A$6:$AB$188,13,FALSE),IF($C$1='Adj-Mixed'!$A$19,VLOOKUP(A12,'337'!$A$6:$AB$188,22,FALSE)))))</f>
        <v>7.4683269714194207</v>
      </c>
      <c r="C12" s="26">
        <f t="shared" si="5"/>
        <v>254.16744130891811</v>
      </c>
      <c r="D12" s="27">
        <f t="shared" si="6"/>
        <v>0.90839151846303523</v>
      </c>
      <c r="E12" s="27">
        <f>IF(A12&gt;200,"",IF($C$1='Adj-Mixed'!$A$21,VLOOKUP(A12,'337'!$A$7:$AB$188,10,FALSE),IF($C$1='Adj-Mixed'!$A$20,VLOOKUP(A12,'337'!$A$7:$AB$188,19,FALSE),IF($C$1='Adj-Mixed'!$A$19,VLOOKUP(A12,'337'!$A$7:$AB$188,28,FALSE)))))</f>
        <v>1.1008469142159791</v>
      </c>
      <c r="F12" s="27">
        <f>IF(A12&gt;200,"",IF($C$1='Adj-Mixed'!$A$21,VLOOKUP(A12,'337'!$A$7:$AB$188,7,FALSE),IF($C$1='Adj-Mixed'!$A$20,VLOOKUP(A12,'337'!$A$7:$AB$188,16,FALSE),IF($C$1='Adj-Mixed'!$A$19,VLOOKUP(A12,'337'!$A$7:$AB$188,25,FALSE)))))</f>
        <v>0.27979944345909347</v>
      </c>
      <c r="G12" s="27">
        <f t="shared" si="8"/>
        <v>1.617985965945778</v>
      </c>
      <c r="I12" s="136">
        <f t="shared" si="1"/>
        <v>7.6878113107289057</v>
      </c>
      <c r="J12" s="26">
        <f>IF(A12&gt;200,"",(C12*'Adj-Mixed'!$C$6))</f>
        <v>280.19022433109529</v>
      </c>
      <c r="K12" s="27">
        <f>IF(A12&gt;200,"",D12*'Adj-Mixed'!$C$7)</f>
        <v>0.80647876318229594</v>
      </c>
      <c r="L12" s="1">
        <f t="shared" si="2"/>
        <v>1.2399582551362989</v>
      </c>
      <c r="M12" s="27">
        <f t="shared" si="3"/>
        <v>0.34742418166783307</v>
      </c>
      <c r="N12" s="122">
        <f t="shared" si="7"/>
        <v>2.0090370560402233</v>
      </c>
    </row>
    <row r="13" spans="1:14" ht="15" customHeight="1" x14ac:dyDescent="0.25">
      <c r="A13" s="22">
        <f t="shared" si="4"/>
        <v>31</v>
      </c>
      <c r="B13" s="28">
        <f>IF(A13&gt;200,"",IF($C$1='Adj-Mixed'!$A$21,VLOOKUP(A13,'337'!$A$6:$AB$188,4,FALSE),IF($C$1='Adj-Mixed'!$A$20,VLOOKUP(A13,'337'!$A$6:$AB$188,13,FALSE),IF($C$1='Adj-Mixed'!$A$19,VLOOKUP(A13,'337'!$A$6:$AB$188,22,FALSE)))))</f>
        <v>7.7416308430760115</v>
      </c>
      <c r="C13" s="26">
        <f t="shared" si="5"/>
        <v>273.30387165659079</v>
      </c>
      <c r="D13" s="27">
        <f t="shared" si="6"/>
        <v>0.89662567689271067</v>
      </c>
      <c r="E13" s="27">
        <f>IF(A13&gt;200,"",IF($C$1='Adj-Mixed'!$A$21,VLOOKUP(A13,'337'!$A$7:$AB$188,10,FALSE),IF($C$1='Adj-Mixed'!$A$20,VLOOKUP(A13,'337'!$A$7:$AB$188,19,FALSE),IF($C$1='Adj-Mixed'!$A$19,VLOOKUP(A13,'337'!$A$7:$AB$188,28,FALSE)))))</f>
        <v>1.1152926196197468</v>
      </c>
      <c r="F13" s="27">
        <f>IF(A13&gt;200,"",IF($C$1='Adj-Mixed'!$A$21,VLOOKUP(A13,'337'!$A$7:$AB$188,7,FALSE),IF($C$1='Adj-Mixed'!$A$20,VLOOKUP(A13,'337'!$A$7:$AB$188,16,FALSE),IF($C$1='Adj-Mixed'!$A$19,VLOOKUP(A13,'337'!$A$7:$AB$188,25,FALSE)))))</f>
        <v>0.30481379097209815</v>
      </c>
      <c r="G13" s="27">
        <f t="shared" si="8"/>
        <v>1.9227997569178763</v>
      </c>
      <c r="I13" s="136">
        <f t="shared" si="1"/>
        <v>7.9890972375008733</v>
      </c>
      <c r="J13" s="26">
        <f>IF(A13&gt;200,"",(C13*'Adj-Mixed'!$C$6))</f>
        <v>301.28592677196752</v>
      </c>
      <c r="K13" s="27">
        <f>IF(A13&gt;200,"",D13*'Adj-Mixed'!$C$7)</f>
        <v>0.79603293540366471</v>
      </c>
      <c r="L13" s="1">
        <f t="shared" si="2"/>
        <v>1.2562294291164027</v>
      </c>
      <c r="M13" s="27">
        <f t="shared" si="3"/>
        <v>0.37848424778955508</v>
      </c>
      <c r="N13" s="122">
        <f t="shared" si="7"/>
        <v>2.3875213038297782</v>
      </c>
    </row>
    <row r="14" spans="1:14" ht="15" customHeight="1" x14ac:dyDescent="0.25">
      <c r="A14" s="22">
        <f t="shared" si="4"/>
        <v>32</v>
      </c>
      <c r="B14" s="28">
        <f>IF(A14&gt;200,"",IF($C$1='Adj-Mixed'!$A$21,VLOOKUP(A14,'337'!$A$6:$AB$188,4,FALSE),IF($C$1='Adj-Mixed'!$A$20,VLOOKUP(A14,'337'!$A$6:$AB$188,13,FALSE),IF($C$1='Adj-Mixed'!$A$19,VLOOKUP(A14,'337'!$A$6:$AB$188,22,FALSE)))))</f>
        <v>8.0335083088935804</v>
      </c>
      <c r="C14" s="26">
        <f t="shared" si="5"/>
        <v>291.87746581756892</v>
      </c>
      <c r="D14" s="27">
        <f t="shared" si="6"/>
        <v>0.88493803821031825</v>
      </c>
      <c r="E14" s="27">
        <f>IF(A14&gt;200,"",IF($C$1='Adj-Mixed'!$A$21,VLOOKUP(A14,'337'!$A$7:$AB$188,10,FALSE),IF($C$1='Adj-Mixed'!$A$20,VLOOKUP(A14,'337'!$A$7:$AB$188,19,FALSE),IF($C$1='Adj-Mixed'!$A$19,VLOOKUP(A14,'337'!$A$7:$AB$188,28,FALSE)))))</f>
        <v>1.1300226194620144</v>
      </c>
      <c r="F14" s="27">
        <f>IF(A14&gt;200,"",IF($C$1='Adj-Mixed'!$A$21,VLOOKUP(A14,'337'!$A$7:$AB$188,7,FALSE),IF($C$1='Adj-Mixed'!$A$20,VLOOKUP(A14,'337'!$A$7:$AB$188,16,FALSE),IF($C$1='Adj-Mixed'!$A$19,VLOOKUP(A14,'337'!$A$7:$AB$188,25,FALSE)))))</f>
        <v>0.32982813848510278</v>
      </c>
      <c r="G14" s="27">
        <f t="shared" si="8"/>
        <v>2.2526278954029793</v>
      </c>
      <c r="I14" s="136">
        <f t="shared" si="1"/>
        <v>8.3108584048772194</v>
      </c>
      <c r="J14" s="26">
        <f>IF(A14&gt;200,"",(C14*'Adj-Mixed'!$C$6))</f>
        <v>321.76116737634538</v>
      </c>
      <c r="K14" s="27">
        <f>IF(A14&gt;200,"",D14*'Adj-Mixed'!$C$7)</f>
        <v>0.78565653690420978</v>
      </c>
      <c r="L14" s="1">
        <f t="shared" si="2"/>
        <v>1.2728208231301508</v>
      </c>
      <c r="M14" s="27">
        <f t="shared" si="3"/>
        <v>0.4095443139112781</v>
      </c>
      <c r="N14" s="122">
        <f t="shared" si="7"/>
        <v>2.7970656177410564</v>
      </c>
    </row>
    <row r="15" spans="1:14" ht="15" customHeight="1" x14ac:dyDescent="0.25">
      <c r="A15" s="22">
        <f t="shared" si="4"/>
        <v>33</v>
      </c>
      <c r="B15" s="28">
        <f>IF(A15&gt;200,"",IF($C$1='Adj-Mixed'!$A$21,VLOOKUP(A15,'337'!$A$6:$AB$188,4,FALSE),IF($C$1='Adj-Mixed'!$A$20,VLOOKUP(A15,'337'!$A$6:$AB$188,13,FALSE),IF($C$1='Adj-Mixed'!$A$19,VLOOKUP(A15,'337'!$A$6:$AB$188,22,FALSE)))))</f>
        <v>8.3433965326854285</v>
      </c>
      <c r="C15" s="26">
        <f t="shared" si="5"/>
        <v>309.88822379184808</v>
      </c>
      <c r="D15" s="27">
        <f t="shared" si="6"/>
        <v>0.87331206385895088</v>
      </c>
      <c r="E15" s="27">
        <f>IF(A15&gt;200,"",IF($C$1='Adj-Mixed'!$A$21,VLOOKUP(A15,'337'!$A$7:$AB$188,10,FALSE),IF($C$1='Adj-Mixed'!$A$20,VLOOKUP(A15,'337'!$A$7:$AB$188,19,FALSE),IF($C$1='Adj-Mixed'!$A$19,VLOOKUP(A15,'337'!$A$7:$AB$188,28,FALSE)))))</f>
        <v>1.1450660552898426</v>
      </c>
      <c r="F15" s="27">
        <f>IF(A15&gt;200,"",IF($C$1='Adj-Mixed'!$A$21,VLOOKUP(A15,'337'!$A$7:$AB$188,7,FALSE),IF($C$1='Adj-Mixed'!$A$20,VLOOKUP(A15,'337'!$A$7:$AB$188,16,FALSE),IF($C$1='Adj-Mixed'!$A$19,VLOOKUP(A15,'337'!$A$7:$AB$188,25,FALSE)))))</f>
        <v>0.35484248599810747</v>
      </c>
      <c r="G15" s="27">
        <f t="shared" si="8"/>
        <v>2.6074703814010869</v>
      </c>
      <c r="I15" s="136">
        <f t="shared" si="1"/>
        <v>8.6524743510214428</v>
      </c>
      <c r="J15" s="26">
        <f>IF(A15&gt;200,"",(C15*'Adj-Mixed'!$C$6))</f>
        <v>341.61594614422398</v>
      </c>
      <c r="K15" s="27">
        <f>IF(A15&gt;200,"",D15*'Adj-Mixed'!$C$7)</f>
        <v>0.77533488459338251</v>
      </c>
      <c r="L15" s="1">
        <f t="shared" si="2"/>
        <v>1.289765261270865</v>
      </c>
      <c r="M15" s="27">
        <f t="shared" si="3"/>
        <v>0.44060438003299879</v>
      </c>
      <c r="N15" s="122">
        <f t="shared" si="7"/>
        <v>3.2376699977740553</v>
      </c>
    </row>
    <row r="16" spans="1:14" ht="15" customHeight="1" x14ac:dyDescent="0.25">
      <c r="A16" s="22">
        <f t="shared" si="4"/>
        <v>34</v>
      </c>
      <c r="B16" s="28">
        <f>IF(A16&gt;200,"",IF($C$1='Adj-Mixed'!$A$21,VLOOKUP(A16,'337'!$A$6:$AB$188,4,FALSE),IF($C$1='Adj-Mixed'!$A$20,VLOOKUP(A16,'337'!$A$6:$AB$188,13,FALSE),IF($C$1='Adj-Mixed'!$A$19,VLOOKUP(A16,'337'!$A$6:$AB$188,22,FALSE)))))</f>
        <v>8.6707326782648586</v>
      </c>
      <c r="C16" s="26">
        <f t="shared" si="5"/>
        <v>327.33614557943014</v>
      </c>
      <c r="D16" s="27">
        <f t="shared" si="6"/>
        <v>0.86173557167257375</v>
      </c>
      <c r="E16" s="27">
        <f>IF(A16&gt;200,"",IF($C$1='Adj-Mixed'!$A$21,VLOOKUP(A16,'337'!$A$7:$AB$188,10,FALSE),IF($C$1='Adj-Mixed'!$A$20,VLOOKUP(A16,'337'!$A$7:$AB$188,19,FALSE),IF($C$1='Adj-Mixed'!$A$19,VLOOKUP(A16,'337'!$A$7:$AB$188,28,FALSE)))))</f>
        <v>1.1604487883203705</v>
      </c>
      <c r="F16" s="27">
        <f>IF(A16&gt;200,"",IF($C$1='Adj-Mixed'!$A$21,VLOOKUP(A16,'337'!$A$7:$AB$188,7,FALSE),IF($C$1='Adj-Mixed'!$A$20,VLOOKUP(A16,'337'!$A$7:$AB$188,16,FALSE),IF($C$1='Adj-Mixed'!$A$19,VLOOKUP(A16,'337'!$A$7:$AB$188,25,FALSE)))))</f>
        <v>0.37985683351111216</v>
      </c>
      <c r="G16" s="27">
        <f t="shared" si="8"/>
        <v>2.9873272149121992</v>
      </c>
      <c r="I16" s="136">
        <f t="shared" si="1"/>
        <v>9.0133246140970478</v>
      </c>
      <c r="J16" s="26">
        <f>IF(A16&gt;200,"",(C16*'Adj-Mixed'!$C$6))</f>
        <v>360.85026307560543</v>
      </c>
      <c r="K16" s="27">
        <f>IF(A16&gt;200,"",D16*'Adj-Mixed'!$C$7)</f>
        <v>0.76505716302652393</v>
      </c>
      <c r="L16" s="1">
        <f t="shared" si="2"/>
        <v>1.3070918727746501</v>
      </c>
      <c r="M16" s="27">
        <f t="shared" si="3"/>
        <v>0.47166444615471825</v>
      </c>
      <c r="N16" s="122">
        <f t="shared" si="7"/>
        <v>3.7093344439287734</v>
      </c>
    </row>
    <row r="17" spans="1:14" ht="15" customHeight="1" x14ac:dyDescent="0.25">
      <c r="A17" s="22">
        <f t="shared" si="4"/>
        <v>35</v>
      </c>
      <c r="B17" s="28">
        <f>IF(A17&gt;200,"",IF($C$1='Adj-Mixed'!$A$21,VLOOKUP(A17,'337'!$A$6:$AB$188,4,FALSE),IF($C$1='Adj-Mixed'!$A$20,VLOOKUP(A17,'337'!$A$6:$AB$188,13,FALSE),IF($C$1='Adj-Mixed'!$A$19,VLOOKUP(A17,'337'!$A$6:$AB$188,22,FALSE)))))</f>
        <v>9.0149539094451789</v>
      </c>
      <c r="C17" s="26">
        <f t="shared" si="5"/>
        <v>344.22123118032033</v>
      </c>
      <c r="D17" s="27">
        <f t="shared" si="6"/>
        <v>0.85019939011123702</v>
      </c>
      <c r="E17" s="27">
        <f>IF(A17&gt;200,"",IF($C$1='Adj-Mixed'!$A$21,VLOOKUP(A17,'337'!$A$7:$AB$188,10,FALSE),IF($C$1='Adj-Mixed'!$A$20,VLOOKUP(A17,'337'!$A$7:$AB$188,19,FALSE),IF($C$1='Adj-Mixed'!$A$19,VLOOKUP(A17,'337'!$A$7:$AB$188,28,FALSE)))))</f>
        <v>1.1761946804844963</v>
      </c>
      <c r="F17" s="27">
        <f>IF(A17&gt;200,"",IF($C$1='Adj-Mixed'!$A$21,VLOOKUP(A17,'337'!$A$7:$AB$188,7,FALSE),IF($C$1='Adj-Mixed'!$A$20,VLOOKUP(A17,'337'!$A$7:$AB$188,16,FALSE),IF($C$1='Adj-Mixed'!$A$19,VLOOKUP(A17,'337'!$A$7:$AB$188,25,FALSE)))))</f>
        <v>0.40487118102411579</v>
      </c>
      <c r="G17" s="27">
        <f t="shared" si="8"/>
        <v>3.3921983959363149</v>
      </c>
      <c r="I17" s="136">
        <f t="shared" si="1"/>
        <v>9.3927887322675438</v>
      </c>
      <c r="J17" s="26">
        <f>IF(A17&gt;200,"",(C17*'Adj-Mixed'!$C$6))</f>
        <v>379.46411817049545</v>
      </c>
      <c r="K17" s="27">
        <f>IF(A17&gt;200,"",D17*'Adj-Mixed'!$C$7)</f>
        <v>0.75481522962188941</v>
      </c>
      <c r="L17" s="1">
        <f t="shared" si="2"/>
        <v>1.3248275349464416</v>
      </c>
      <c r="M17" s="27">
        <f t="shared" si="3"/>
        <v>0.50272451227644277</v>
      </c>
      <c r="N17" s="122">
        <f t="shared" si="7"/>
        <v>4.2120589562052162</v>
      </c>
    </row>
    <row r="18" spans="1:14" ht="15" customHeight="1" x14ac:dyDescent="0.25">
      <c r="A18" s="22">
        <f t="shared" si="4"/>
        <v>36</v>
      </c>
      <c r="B18" s="28">
        <f>IF(A18&gt;200,"",IF($C$1='Adj-Mixed'!$A$21,VLOOKUP(A18,'337'!$A$6:$AB$188,4,FALSE),IF($C$1='Adj-Mixed'!$A$20,VLOOKUP(A18,'337'!$A$6:$AB$188,13,FALSE),IF($C$1='Adj-Mixed'!$A$19,VLOOKUP(A18,'337'!$A$6:$AB$188,22,FALSE)))))</f>
        <v>9.3754973900396887</v>
      </c>
      <c r="C18" s="26">
        <f t="shared" si="5"/>
        <v>360.54348059450979</v>
      </c>
      <c r="D18" s="27">
        <f t="shared" si="6"/>
        <v>0.83869648234361571</v>
      </c>
      <c r="E18" s="27">
        <f>IF(A18&gt;200,"",IF($C$1='Adj-Mixed'!$A$21,VLOOKUP(A18,'337'!$A$7:$AB$188,10,FALSE),IF($C$1='Adj-Mixed'!$A$20,VLOOKUP(A18,'337'!$A$7:$AB$188,19,FALSE),IF($C$1='Adj-Mixed'!$A$19,VLOOKUP(A18,'337'!$A$7:$AB$188,28,FALSE)))))</f>
        <v>1.1923264506912501</v>
      </c>
      <c r="F18" s="27">
        <f>IF(A18&gt;200,"",IF($C$1='Adj-Mixed'!$A$21,VLOOKUP(A18,'337'!$A$7:$AB$188,7,FALSE),IF($C$1='Adj-Mixed'!$A$20,VLOOKUP(A18,'337'!$A$7:$AB$188,16,FALSE),IF($C$1='Adj-Mixed'!$A$19,VLOOKUP(A18,'337'!$A$7:$AB$188,25,FALSE)))))</f>
        <v>0.42988552853712148</v>
      </c>
      <c r="G18" s="27">
        <f t="shared" si="8"/>
        <v>3.8220839244734366</v>
      </c>
      <c r="I18" s="136">
        <f t="shared" si="1"/>
        <v>9.7902462436964282</v>
      </c>
      <c r="J18" s="26">
        <f>IF(A18&gt;200,"",(C18*'Adj-Mixed'!$C$6))</f>
        <v>397.45751142888435</v>
      </c>
      <c r="K18" s="27">
        <f>IF(A18&gt;200,"",D18*'Adj-Mixed'!$C$7)</f>
        <v>0.74460283701266805</v>
      </c>
      <c r="L18" s="1">
        <f t="shared" si="2"/>
        <v>1.34299783762842</v>
      </c>
      <c r="M18" s="27">
        <f t="shared" si="3"/>
        <v>0.53378457839816473</v>
      </c>
      <c r="N18" s="122">
        <f t="shared" si="7"/>
        <v>4.7458435346033809</v>
      </c>
    </row>
    <row r="19" spans="1:14" ht="15" customHeight="1" x14ac:dyDescent="0.25">
      <c r="A19" s="22">
        <f t="shared" si="4"/>
        <v>37</v>
      </c>
      <c r="B19" s="28">
        <f>IF(A19&gt;200,"",IF($C$1='Adj-Mixed'!$A$21,VLOOKUP(A19,'337'!$A$6:$AB$188,4,FALSE),IF($C$1='Adj-Mixed'!$A$20,VLOOKUP(A19,'337'!$A$6:$AB$188,13,FALSE),IF($C$1='Adj-Mixed'!$A$19,VLOOKUP(A19,'337'!$A$6:$AB$188,22,FALSE)))))</f>
        <v>9.7518002838616944</v>
      </c>
      <c r="C19" s="26">
        <f t="shared" si="5"/>
        <v>376.30289382200567</v>
      </c>
      <c r="D19" s="27">
        <f t="shared" si="6"/>
        <v>0.82722135932290353</v>
      </c>
      <c r="E19" s="27">
        <f>IF(A19&gt;200,"",IF($C$1='Adj-Mixed'!$A$21,VLOOKUP(A19,'337'!$A$7:$AB$188,10,FALSE),IF($C$1='Adj-Mixed'!$A$20,VLOOKUP(A19,'337'!$A$7:$AB$188,19,FALSE),IF($C$1='Adj-Mixed'!$A$19,VLOOKUP(A19,'337'!$A$7:$AB$188,28,FALSE)))))</f>
        <v>1.2088662710770901</v>
      </c>
      <c r="F19" s="27">
        <f>IF(A19&gt;200,"",IF($C$1='Adj-Mixed'!$A$21,VLOOKUP(A19,'337'!$A$7:$AB$188,7,FALSE),IF($C$1='Adj-Mixed'!$A$20,VLOOKUP(A19,'337'!$A$7:$AB$188,16,FALSE),IF($C$1='Adj-Mixed'!$A$19,VLOOKUP(A19,'337'!$A$7:$AB$188,25,FALSE)))))</f>
        <v>0.45489987605012722</v>
      </c>
      <c r="G19" s="27">
        <f t="shared" si="8"/>
        <v>4.2769838005235634</v>
      </c>
      <c r="I19" s="136">
        <f t="shared" si="1"/>
        <v>10.205076686547208</v>
      </c>
      <c r="J19" s="26">
        <f>IF(A19&gt;200,"",(C19*'Adj-Mixed'!$C$6))</f>
        <v>414.83044285077989</v>
      </c>
      <c r="K19" s="27">
        <f>IF(A19&gt;200,"",D19*'Adj-Mixed'!$C$7)</f>
        <v>0.73441511197009302</v>
      </c>
      <c r="L19" s="1">
        <f t="shared" si="2"/>
        <v>1.3616277547958766</v>
      </c>
      <c r="M19" s="27">
        <f t="shared" si="3"/>
        <v>0.56484464451988659</v>
      </c>
      <c r="N19" s="122">
        <f t="shared" si="7"/>
        <v>5.3106881791232672</v>
      </c>
    </row>
    <row r="20" spans="1:14" ht="15" customHeight="1" x14ac:dyDescent="0.25">
      <c r="A20" s="22">
        <f t="shared" si="4"/>
        <v>38</v>
      </c>
      <c r="B20" s="28">
        <f>IF(A20&gt;200,"",IF($C$1='Adj-Mixed'!$A$21,VLOOKUP(A20,'337'!$A$6:$AB$188,4,FALSE),IF($C$1='Adj-Mixed'!$A$20,VLOOKUP(A20,'337'!$A$6:$AB$188,13,FALSE),IF($C$1='Adj-Mixed'!$A$19,VLOOKUP(A20,'337'!$A$6:$AB$188,22,FALSE)))))</f>
        <v>10.143299754724501</v>
      </c>
      <c r="C20" s="26">
        <f t="shared" si="5"/>
        <v>391.49947086280611</v>
      </c>
      <c r="D20" s="27">
        <f t="shared" si="6"/>
        <v>0.81576967641448939</v>
      </c>
      <c r="E20" s="27">
        <f>IF(A20&gt;200,"",IF($C$1='Adj-Mixed'!$A$21,VLOOKUP(A20,'337'!$A$7:$AB$188,10,FALSE),IF($C$1='Adj-Mixed'!$A$20,VLOOKUP(A20,'337'!$A$7:$AB$188,19,FALSE),IF($C$1='Adj-Mixed'!$A$19,VLOOKUP(A20,'337'!$A$7:$AB$188,28,FALSE)))))</f>
        <v>1.2258361997411436</v>
      </c>
      <c r="F20" s="27">
        <f>IF(A20&gt;200,"",IF($C$1='Adj-Mixed'!$A$21,VLOOKUP(A20,'337'!$A$7:$AB$188,7,FALSE),IF($C$1='Adj-Mixed'!$A$20,VLOOKUP(A20,'337'!$A$7:$AB$188,16,FALSE),IF($C$1='Adj-Mixed'!$A$19,VLOOKUP(A20,'337'!$A$7:$AB$188,25,FALSE)))))</f>
        <v>0.47991422356312974</v>
      </c>
      <c r="G20" s="27">
        <f t="shared" si="8"/>
        <v>4.7568980240866932</v>
      </c>
      <c r="I20" s="136">
        <f t="shared" si="1"/>
        <v>10.636659598983389</v>
      </c>
      <c r="J20" s="26">
        <f>IF(A20&gt;200,"",(C20*'Adj-Mixed'!$C$6))</f>
        <v>431.5829124361801</v>
      </c>
      <c r="K20" s="27">
        <f>IF(A20&gt;200,"",D20*'Adj-Mixed'!$C$7)</f>
        <v>0.72424819728559675</v>
      </c>
      <c r="L20" s="1">
        <f t="shared" si="2"/>
        <v>1.3807421319761526</v>
      </c>
      <c r="M20" s="27">
        <f t="shared" si="3"/>
        <v>0.59590471064160844</v>
      </c>
      <c r="N20" s="122">
        <f t="shared" si="7"/>
        <v>5.9065928897648758</v>
      </c>
    </row>
    <row r="21" spans="1:14" ht="15" customHeight="1" x14ac:dyDescent="0.25">
      <c r="A21" s="22">
        <f t="shared" si="4"/>
        <v>39</v>
      </c>
      <c r="B21" s="28">
        <f>IF(A21&gt;200,"",IF($C$1='Adj-Mixed'!$A$21,VLOOKUP(A21,'337'!$A$6:$AB$188,4,FALSE),IF($C$1='Adj-Mixed'!$A$20,VLOOKUP(A21,'337'!$A$6:$AB$188,13,FALSE),IF($C$1='Adj-Mixed'!$A$19,VLOOKUP(A21,'337'!$A$6:$AB$188,22,FALSE)))))</f>
        <v>10.549432966441408</v>
      </c>
      <c r="C21" s="26">
        <f t="shared" si="5"/>
        <v>406.13321171690762</v>
      </c>
      <c r="D21" s="27">
        <f t="shared" si="6"/>
        <v>0.80433794992295837</v>
      </c>
      <c r="E21" s="27">
        <f>IF(A21&gt;200,"",IF($C$1='Adj-Mixed'!$A$21,VLOOKUP(A21,'337'!$A$7:$AB$188,10,FALSE),IF($C$1='Adj-Mixed'!$A$20,VLOOKUP(A21,'337'!$A$7:$AB$188,19,FALSE),IF($C$1='Adj-Mixed'!$A$19,VLOOKUP(A21,'337'!$A$7:$AB$188,28,FALSE)))))</f>
        <v>1.2432585085607146</v>
      </c>
      <c r="F21" s="27">
        <f>IF(A21&gt;200,"",IF($C$1='Adj-Mixed'!$A$21,VLOOKUP(A21,'337'!$A$7:$AB$188,7,FALSE),IF($C$1='Adj-Mixed'!$A$20,VLOOKUP(A21,'337'!$A$7:$AB$188,16,FALSE),IF($C$1='Adj-Mixed'!$A$19,VLOOKUP(A21,'337'!$A$7:$AB$188,25,FALSE)))))</f>
        <v>0.50492857107613554</v>
      </c>
      <c r="G21" s="27">
        <f t="shared" si="8"/>
        <v>5.2618265951628285</v>
      </c>
      <c r="I21" s="136">
        <f t="shared" si="1"/>
        <v>11.08437451916847</v>
      </c>
      <c r="J21" s="26">
        <f>IF(A21&gt;200,"",(C21*'Adj-Mixed'!$C$6))</f>
        <v>447.71492018508116</v>
      </c>
      <c r="K21" s="27">
        <f>IF(A21&gt;200,"",D21*'Adj-Mixed'!$C$7)</f>
        <v>0.71409900010074512</v>
      </c>
      <c r="L21" s="1">
        <f t="shared" si="2"/>
        <v>1.4003660554893929</v>
      </c>
      <c r="M21" s="27">
        <f t="shared" si="3"/>
        <v>0.6269647767633304</v>
      </c>
      <c r="N21" s="122">
        <f t="shared" si="7"/>
        <v>6.533557666528206</v>
      </c>
    </row>
    <row r="22" spans="1:14" ht="15" customHeight="1" x14ac:dyDescent="0.25">
      <c r="A22" s="22">
        <f t="shared" si="4"/>
        <v>40</v>
      </c>
      <c r="B22" s="28">
        <f>IF(A22&gt;200,"",IF($C$1='Adj-Mixed'!$A$21,VLOOKUP(A22,'337'!$A$6:$AB$188,4,FALSE),IF($C$1='Adj-Mixed'!$A$20,VLOOKUP(A22,'337'!$A$6:$AB$188,13,FALSE),IF($C$1='Adj-Mixed'!$A$19,VLOOKUP(A22,'337'!$A$6:$AB$188,22,FALSE)))))</f>
        <v>10.969637082825722</v>
      </c>
      <c r="C22" s="26">
        <f t="shared" si="5"/>
        <v>420.20411638431375</v>
      </c>
      <c r="D22" s="27">
        <f t="shared" si="6"/>
        <v>0.79292335390199331</v>
      </c>
      <c r="E22" s="27">
        <f>IF(A22&gt;200,"",IF($C$1='Adj-Mixed'!$A$21,VLOOKUP(A22,'337'!$A$7:$AB$188,10,FALSE),IF($C$1='Adj-Mixed'!$A$20,VLOOKUP(A22,'337'!$A$7:$AB$188,19,FALSE),IF($C$1='Adj-Mixed'!$A$19,VLOOKUP(A22,'337'!$A$7:$AB$188,28,FALSE)))))</f>
        <v>1.2611559428524559</v>
      </c>
      <c r="F22" s="27">
        <f>IF(A22&gt;200,"",IF($C$1='Adj-Mixed'!$A$21,VLOOKUP(A22,'337'!$A$7:$AB$188,7,FALSE),IF($C$1='Adj-Mixed'!$A$20,VLOOKUP(A22,'337'!$A$7:$AB$188,16,FALSE),IF($C$1='Adj-Mixed'!$A$19,VLOOKUP(A22,'337'!$A$7:$AB$188,25,FALSE)))))</f>
        <v>0.52994291858914233</v>
      </c>
      <c r="G22" s="27">
        <f t="shared" si="8"/>
        <v>5.7917695137519711</v>
      </c>
      <c r="I22" s="136">
        <f t="shared" si="1"/>
        <v>11.547600985265957</v>
      </c>
      <c r="J22" s="26">
        <f>IF(A22&gt;200,"",(C22*'Adj-Mixed'!$C$6))</f>
        <v>463.22646609748693</v>
      </c>
      <c r="K22" s="27">
        <f>IF(A22&gt;200,"",D22*'Adj-Mixed'!$C$7)</f>
        <v>0.70396501151310498</v>
      </c>
      <c r="L22" s="1">
        <f t="shared" si="2"/>
        <v>1.4205251449224676</v>
      </c>
      <c r="M22" s="27">
        <f t="shared" si="3"/>
        <v>0.65802484288505514</v>
      </c>
      <c r="N22" s="122">
        <f t="shared" si="7"/>
        <v>7.1915825094132613</v>
      </c>
    </row>
    <row r="23" spans="1:14" ht="15" customHeight="1" x14ac:dyDescent="0.25">
      <c r="A23" s="22">
        <f t="shared" si="4"/>
        <v>41</v>
      </c>
      <c r="B23" s="28">
        <f>IF(A23&gt;200,"",IF($C$1='Adj-Mixed'!$A$21,VLOOKUP(A23,'337'!$A$6:$AB$188,4,FALSE),IF($C$1='Adj-Mixed'!$A$20,VLOOKUP(A23,'337'!$A$6:$AB$188,13,FALSE),IF($C$1='Adj-Mixed'!$A$19,VLOOKUP(A23,'337'!$A$6:$AB$188,22,FALSE)))))</f>
        <v>11.403349267690746</v>
      </c>
      <c r="C23" s="26">
        <f t="shared" si="5"/>
        <v>433.71218486502448</v>
      </c>
      <c r="D23" s="27">
        <f t="shared" si="6"/>
        <v>0.78863299856631419</v>
      </c>
      <c r="E23" s="27">
        <f>IF(A23&gt;200,"",IF($C$1='Adj-Mixed'!$A$21,VLOOKUP(A23,'337'!$A$7:$AB$188,10,FALSE),IF($C$1='Adj-Mixed'!$A$20,VLOOKUP(A23,'337'!$A$7:$AB$188,19,FALSE),IF($C$1='Adj-Mixed'!$A$19,VLOOKUP(A23,'337'!$A$7:$AB$188,28,FALSE)))))</f>
        <v>1.2680169379393684</v>
      </c>
      <c r="F23" s="27">
        <f>IF(A23&gt;200,"",IF($C$1='Adj-Mixed'!$A$21,VLOOKUP(A23,'337'!$A$7:$AB$188,7,FALSE),IF($C$1='Adj-Mixed'!$A$20,VLOOKUP(A23,'337'!$A$7:$AB$188,16,FALSE),IF($C$1='Adj-Mixed'!$A$19,VLOOKUP(A23,'337'!$A$7:$AB$188,25,FALSE)))))</f>
        <v>0.54995439659954171</v>
      </c>
      <c r="G23" s="27">
        <f t="shared" si="8"/>
        <v>6.3417239103515133</v>
      </c>
      <c r="I23" s="136">
        <f t="shared" si="1"/>
        <v>12.025718535439355</v>
      </c>
      <c r="J23" s="26">
        <f>IF(A23&gt;200,"",(C23*'Adj-Mixed'!$C$6))</f>
        <v>478.11755017339738</v>
      </c>
      <c r="K23" s="27">
        <f>IF(A23&gt;200,"",D23*'Adj-Mixed'!$C$7)</f>
        <v>0.70015599261056682</v>
      </c>
      <c r="L23" s="1">
        <f t="shared" si="2"/>
        <v>1.4282531472328754</v>
      </c>
      <c r="M23" s="27">
        <f t="shared" si="3"/>
        <v>0.68287289578242705</v>
      </c>
      <c r="N23" s="122">
        <f t="shared" si="7"/>
        <v>7.8744554051956879</v>
      </c>
    </row>
    <row r="24" spans="1:14" ht="15" customHeight="1" x14ac:dyDescent="0.25">
      <c r="A24" s="22">
        <f t="shared" si="4"/>
        <v>42</v>
      </c>
      <c r="B24" s="28">
        <f>IF(A24&gt;200,"",IF($C$1='Adj-Mixed'!$A$21,VLOOKUP(A24,'337'!$A$6:$AB$188,4,FALSE),IF($C$1='Adj-Mixed'!$A$20,VLOOKUP(A24,'337'!$A$6:$AB$188,13,FALSE),IF($C$1='Adj-Mixed'!$A$19,VLOOKUP(A24,'337'!$A$6:$AB$188,22,FALSE)))))</f>
        <v>11.850006684849784</v>
      </c>
      <c r="C24" s="26">
        <f t="shared" si="5"/>
        <v>446.65741715903806</v>
      </c>
      <c r="D24" s="27">
        <f t="shared" si="6"/>
        <v>0.78365642059659302</v>
      </c>
      <c r="E24" s="27">
        <f>IF(A24&gt;200,"",IF($C$1='Adj-Mixed'!$A$21,VLOOKUP(A24,'337'!$A$7:$AB$188,10,FALSE),IF($C$1='Adj-Mixed'!$A$20,VLOOKUP(A24,'337'!$A$7:$AB$188,19,FALSE),IF($C$1='Adj-Mixed'!$A$19,VLOOKUP(A24,'337'!$A$7:$AB$188,28,FALSE)))))</f>
        <v>1.2760694275160867</v>
      </c>
      <c r="F24" s="27">
        <f>IF(A24&gt;200,"",IF($C$1='Adj-Mixed'!$A$21,VLOOKUP(A24,'337'!$A$7:$AB$188,7,FALSE),IF($C$1='Adj-Mixed'!$A$20,VLOOKUP(A24,'337'!$A$7:$AB$188,16,FALSE),IF($C$1='Adj-Mixed'!$A$19,VLOOKUP(A24,'337'!$A$7:$AB$188,25,FALSE)))))</f>
        <v>0.56996587460994763</v>
      </c>
      <c r="G24" s="27">
        <f t="shared" si="8"/>
        <v>6.9116897849614611</v>
      </c>
      <c r="I24" s="136">
        <f t="shared" si="1"/>
        <v>12.518106707852166</v>
      </c>
      <c r="J24" s="26">
        <f>IF(A24&gt;200,"",(C24*'Adj-Mixed'!$C$6))</f>
        <v>492.3881724128106</v>
      </c>
      <c r="K24" s="27">
        <f>IF(A24&gt;200,"",D24*'Adj-Mixed'!$C$7)</f>
        <v>0.69573773862610455</v>
      </c>
      <c r="L24" s="1">
        <f t="shared" si="2"/>
        <v>1.4373232102871576</v>
      </c>
      <c r="M24" s="27">
        <f t="shared" si="3"/>
        <v>0.7077209486798075</v>
      </c>
      <c r="N24" s="122">
        <f t="shared" si="7"/>
        <v>8.5821763538754947</v>
      </c>
    </row>
    <row r="25" spans="1:14" ht="15" customHeight="1" x14ac:dyDescent="0.25">
      <c r="A25" s="22">
        <f t="shared" si="4"/>
        <v>43</v>
      </c>
      <c r="B25" s="28">
        <f>IF(A25&gt;200,"",IF($C$1='Adj-Mixed'!$A$21,VLOOKUP(A25,'337'!$A$6:$AB$188,4,FALSE),IF($C$1='Adj-Mixed'!$A$20,VLOOKUP(A25,'337'!$A$6:$AB$188,13,FALSE),IF($C$1='Adj-Mixed'!$A$19,VLOOKUP(A25,'337'!$A$6:$AB$188,22,FALSE)))))</f>
        <v>12.306665510784498</v>
      </c>
      <c r="C25" s="26">
        <f t="shared" si="5"/>
        <v>456.65882593471349</v>
      </c>
      <c r="D25" s="27">
        <f t="shared" si="6"/>
        <v>0.77402772141420173</v>
      </c>
      <c r="E25" s="27">
        <f>IF(A25&gt;200,"",IF($C$1='Adj-Mixed'!$A$21,VLOOKUP(A25,'337'!$A$7:$AB$188,10,FALSE),IF($C$1='Adj-Mixed'!$A$20,VLOOKUP(A25,'337'!$A$7:$AB$188,19,FALSE),IF($C$1='Adj-Mixed'!$A$19,VLOOKUP(A25,'337'!$A$7:$AB$188,28,FALSE)))))</f>
        <v>1.2919433921215786</v>
      </c>
      <c r="F25" s="27">
        <f>IF(A25&gt;200,"",IF($C$1='Adj-Mixed'!$A$21,VLOOKUP(A25,'337'!$A$7:$AB$188,7,FALSE),IF($C$1='Adj-Mixed'!$A$20,VLOOKUP(A25,'337'!$A$7:$AB$188,16,FALSE),IF($C$1='Adj-Mixed'!$A$19,VLOOKUP(A25,'337'!$A$7:$AB$188,25,FALSE)))))</f>
        <v>0.58997735262035245</v>
      </c>
      <c r="G25" s="27">
        <f t="shared" si="8"/>
        <v>7.5016671375818138</v>
      </c>
      <c r="I25" s="136">
        <f t="shared" si="1"/>
        <v>13.021520277357745</v>
      </c>
      <c r="J25" s="26">
        <f>IF(A25&gt;200,"",(C25*'Adj-Mixed'!$C$6))</f>
        <v>503.41356950557804</v>
      </c>
      <c r="K25" s="27">
        <f>IF(A25&gt;200,"",D25*'Adj-Mixed'!$C$7)</f>
        <v>0.68718928649963829</v>
      </c>
      <c r="L25" s="1">
        <f t="shared" si="2"/>
        <v>1.4552031291025174</v>
      </c>
      <c r="M25" s="27">
        <f t="shared" si="3"/>
        <v>0.73256900157718485</v>
      </c>
      <c r="N25" s="122">
        <f t="shared" si="7"/>
        <v>9.3147453554526791</v>
      </c>
    </row>
    <row r="26" spans="1:14" ht="15" customHeight="1" x14ac:dyDescent="0.25">
      <c r="A26" s="22">
        <f t="shared" si="4"/>
        <v>44</v>
      </c>
      <c r="B26" s="28">
        <f>IF(A26&gt;200,"",IF($C$1='Adj-Mixed'!$A$21,VLOOKUP(A26,'337'!$A$6:$AB$188,4,FALSE),IF($C$1='Adj-Mixed'!$A$20,VLOOKUP(A26,'337'!$A$6:$AB$188,13,FALSE),IF($C$1='Adj-Mixed'!$A$19,VLOOKUP(A26,'337'!$A$6:$AB$188,22,FALSE)))))</f>
        <v>12.773549693813344</v>
      </c>
      <c r="C26" s="26">
        <f t="shared" si="5"/>
        <v>466.88418302884571</v>
      </c>
      <c r="D26" s="27">
        <f t="shared" si="6"/>
        <v>0.76539792137844076</v>
      </c>
      <c r="E26" s="27">
        <f>IF(A26&gt;200,"",IF($C$1='Adj-Mixed'!$A$21,VLOOKUP(A26,'337'!$A$7:$AB$188,10,FALSE),IF($C$1='Adj-Mixed'!$A$20,VLOOKUP(A26,'337'!$A$7:$AB$188,19,FALSE),IF($C$1='Adj-Mixed'!$A$19,VLOOKUP(A26,'337'!$A$7:$AB$188,28,FALSE)))))</f>
        <v>1.3065099500127377</v>
      </c>
      <c r="F26" s="27">
        <f>IF(A26&gt;200,"",IF($C$1='Adj-Mixed'!$A$21,VLOOKUP(A26,'337'!$A$7:$AB$188,7,FALSE),IF($C$1='Adj-Mixed'!$A$20,VLOOKUP(A26,'337'!$A$7:$AB$188,16,FALSE),IF($C$1='Adj-Mixed'!$A$19,VLOOKUP(A26,'337'!$A$7:$AB$188,25,FALSE)))))</f>
        <v>0.60998883063075393</v>
      </c>
      <c r="G26" s="27">
        <f t="shared" si="8"/>
        <v>8.1116559682125668</v>
      </c>
      <c r="I26" s="136">
        <f t="shared" si="1"/>
        <v>13.536206121090565</v>
      </c>
      <c r="J26" s="26">
        <f>IF(A26&gt;200,"",(C26*'Adj-Mixed'!$C$6))</f>
        <v>514.68584373281965</v>
      </c>
      <c r="K26" s="27">
        <f>IF(A26&gt;200,"",D26*'Adj-Mixed'!$C$7)</f>
        <v>0.67952766668274844</v>
      </c>
      <c r="L26" s="1">
        <f t="shared" si="2"/>
        <v>1.4716104274042321</v>
      </c>
      <c r="M26" s="27">
        <f t="shared" si="3"/>
        <v>0.75741705447456253</v>
      </c>
      <c r="N26" s="122">
        <f t="shared" si="7"/>
        <v>10.072162409927241</v>
      </c>
    </row>
    <row r="27" spans="1:14" ht="15" customHeight="1" x14ac:dyDescent="0.25">
      <c r="A27" s="22">
        <f t="shared" si="4"/>
        <v>45</v>
      </c>
      <c r="B27" s="28">
        <f>IF(A27&gt;200,"",IF($C$1='Adj-Mixed'!$A$21,VLOOKUP(A27,'337'!$A$6:$AB$188,4,FALSE),IF($C$1='Adj-Mixed'!$A$20,VLOOKUP(A27,'337'!$A$6:$AB$188,13,FALSE),IF($C$1='Adj-Mixed'!$A$19,VLOOKUP(A27,'337'!$A$6:$AB$188,22,FALSE)))))</f>
        <v>13.250888196833269</v>
      </c>
      <c r="C27" s="26">
        <f t="shared" si="5"/>
        <v>477.33850301992572</v>
      </c>
      <c r="D27" s="27">
        <f t="shared" si="6"/>
        <v>0.75767979233135696</v>
      </c>
      <c r="E27" s="27">
        <f>IF(A27&gt;200,"",IF($C$1='Adj-Mixed'!$A$21,VLOOKUP(A27,'337'!$A$7:$AB$188,10,FALSE),IF($C$1='Adj-Mixed'!$A$20,VLOOKUP(A27,'337'!$A$7:$AB$188,19,FALSE),IF($C$1='Adj-Mixed'!$A$19,VLOOKUP(A27,'337'!$A$7:$AB$188,28,FALSE)))))</f>
        <v>1.3198187547315092</v>
      </c>
      <c r="F27" s="27">
        <f>IF(A27&gt;200,"",IF($C$1='Adj-Mixed'!$A$21,VLOOKUP(A27,'337'!$A$7:$AB$188,7,FALSE),IF($C$1='Adj-Mixed'!$A$20,VLOOKUP(A27,'337'!$A$7:$AB$188,16,FALSE),IF($C$1='Adj-Mixed'!$A$19,VLOOKUP(A27,'337'!$A$7:$AB$188,25,FALSE)))))</f>
        <v>0.63000030864116008</v>
      </c>
      <c r="G27" s="27">
        <f t="shared" si="8"/>
        <v>8.7416562768537265</v>
      </c>
      <c r="I27" s="136">
        <f t="shared" si="1"/>
        <v>14.062416644178242</v>
      </c>
      <c r="J27" s="26">
        <f>IF(A27&gt;200,"",(C27*'Adj-Mixed'!$C$6))</f>
        <v>526.21052308767685</v>
      </c>
      <c r="K27" s="27">
        <f>IF(A27&gt;200,"",D27*'Adj-Mixed'!$C$7)</f>
        <v>0.67267543717436951</v>
      </c>
      <c r="L27" s="1">
        <f t="shared" si="2"/>
        <v>1.4866010333312976</v>
      </c>
      <c r="M27" s="27">
        <f t="shared" si="3"/>
        <v>0.78226510737194288</v>
      </c>
      <c r="N27" s="122">
        <f t="shared" si="7"/>
        <v>10.854427517299184</v>
      </c>
    </row>
    <row r="28" spans="1:14" ht="15" customHeight="1" x14ac:dyDescent="0.25">
      <c r="A28" s="22">
        <f t="shared" si="4"/>
        <v>46</v>
      </c>
      <c r="B28" s="28">
        <f>IF(A28&gt;200,"",IF($C$1='Adj-Mixed'!$A$21,VLOOKUP(A28,'337'!$A$6:$AB$188,4,FALSE),IF($C$1='Adj-Mixed'!$A$20,VLOOKUP(A28,'337'!$A$6:$AB$188,13,FALSE),IF($C$1='Adj-Mixed'!$A$19,VLOOKUP(A28,'337'!$A$6:$AB$188,22,FALSE)))))</f>
        <v>13.73891510960453</v>
      </c>
      <c r="C28" s="26">
        <f t="shared" si="5"/>
        <v>488.02691277126087</v>
      </c>
      <c r="D28" s="27">
        <f t="shared" si="6"/>
        <v>0.75079702059752063</v>
      </c>
      <c r="E28" s="27">
        <f>IF(A28&gt;200,"",IF($C$1='Adj-Mixed'!$A$21,VLOOKUP(A28,'337'!$A$7:$AB$188,10,FALSE),IF($C$1='Adj-Mixed'!$A$20,VLOOKUP(A28,'337'!$A$7:$AB$188,19,FALSE),IF($C$1='Adj-Mixed'!$A$19,VLOOKUP(A28,'337'!$A$7:$AB$188,28,FALSE)))))</f>
        <v>1.3319179119865867</v>
      </c>
      <c r="F28" s="27">
        <f>IF(A28&gt;200,"",IF($C$1='Adj-Mixed'!$A$21,VLOOKUP(A28,'337'!$A$7:$AB$188,7,FALSE),IF($C$1='Adj-Mixed'!$A$20,VLOOKUP(A28,'337'!$A$7:$AB$188,16,FALSE),IF($C$1='Adj-Mixed'!$A$19,VLOOKUP(A28,'337'!$A$7:$AB$188,25,FALSE)))))</f>
        <v>0.65001178665156023</v>
      </c>
      <c r="G28" s="27">
        <f t="shared" si="8"/>
        <v>9.3916680635052874</v>
      </c>
      <c r="I28" s="136">
        <f t="shared" si="1"/>
        <v>14.600409903522564</v>
      </c>
      <c r="J28" s="26">
        <f>IF(A28&gt;200,"",(C28*'Adj-Mixed'!$C$6))</f>
        <v>537.99325934432181</v>
      </c>
      <c r="K28" s="27">
        <f>IF(A28&gt;200,"",D28*'Adj-Mixed'!$C$7)</f>
        <v>0.66656484595643062</v>
      </c>
      <c r="L28" s="1">
        <f t="shared" si="2"/>
        <v>1.5002291315935434</v>
      </c>
      <c r="M28" s="27">
        <f t="shared" si="3"/>
        <v>0.80711316026931201</v>
      </c>
      <c r="N28" s="122">
        <f t="shared" si="7"/>
        <v>11.661540677568496</v>
      </c>
    </row>
    <row r="29" spans="1:14" ht="15" customHeight="1" x14ac:dyDescent="0.25">
      <c r="A29" s="22">
        <f t="shared" si="4"/>
        <v>47</v>
      </c>
      <c r="B29" s="28">
        <f>IF(A29&gt;200,"",IF($C$1='Adj-Mixed'!$A$21,VLOOKUP(A29,'337'!$A$6:$AB$188,4,FALSE),IF($C$1='Adj-Mixed'!$A$20,VLOOKUP(A29,'337'!$A$6:$AB$188,13,FALSE),IF($C$1='Adj-Mixed'!$A$19,VLOOKUP(A29,'337'!$A$6:$AB$188,22,FALSE)))))</f>
        <v>14.237869763549785</v>
      </c>
      <c r="C29" s="26">
        <f t="shared" si="5"/>
        <v>498.95465394525473</v>
      </c>
      <c r="D29" s="27">
        <f t="shared" si="6"/>
        <v>0.74136126303600558</v>
      </c>
      <c r="E29" s="27">
        <f>IF(A29&gt;200,"",IF($C$1='Adj-Mixed'!$A$21,VLOOKUP(A29,'337'!$A$7:$AB$188,10,FALSE),IF($C$1='Adj-Mixed'!$A$20,VLOOKUP(A29,'337'!$A$7:$AB$188,19,FALSE),IF($C$1='Adj-Mixed'!$A$19,VLOOKUP(A29,'337'!$A$7:$AB$188,28,FALSE)))))</f>
        <v>1.3488700446862074</v>
      </c>
      <c r="F29" s="27">
        <f>IF(A29&gt;200,"",IF($C$1='Adj-Mixed'!$A$21,VLOOKUP(A29,'337'!$A$7:$AB$188,7,FALSE),IF($C$1='Adj-Mixed'!$A$20,VLOOKUP(A29,'337'!$A$7:$AB$188,16,FALSE),IF($C$1='Adj-Mixed'!$A$19,VLOOKUP(A29,'337'!$A$7:$AB$188,25,FALSE)))))</f>
        <v>0.67302498636352692</v>
      </c>
      <c r="G29" s="27">
        <f t="shared" si="8"/>
        <v>10.064693049868815</v>
      </c>
      <c r="I29" s="136">
        <f t="shared" si="1"/>
        <v>15.150449734352225</v>
      </c>
      <c r="J29" s="26">
        <f>IF(A29&gt;200,"",(C29*'Adj-Mixed'!$C$6))</f>
        <v>550.03983082966033</v>
      </c>
      <c r="K29" s="27">
        <f>IF(A29&gt;200,"",D29*'Adj-Mixed'!$C$7)</f>
        <v>0.65818768926437565</v>
      </c>
      <c r="L29" s="1">
        <f t="shared" si="2"/>
        <v>1.5193234639767439</v>
      </c>
      <c r="M29" s="27">
        <f t="shared" si="3"/>
        <v>0.83568842110130181</v>
      </c>
      <c r="N29" s="122">
        <f t="shared" si="7"/>
        <v>12.497229098669798</v>
      </c>
    </row>
    <row r="30" spans="1:14" ht="15" customHeight="1" x14ac:dyDescent="0.25">
      <c r="A30" s="22">
        <f t="shared" si="4"/>
        <v>48</v>
      </c>
      <c r="B30" s="28">
        <f>IF(A30&gt;200,"",IF($C$1='Adj-Mixed'!$A$21,VLOOKUP(A30,'337'!$A$6:$AB$188,4,FALSE),IF($C$1='Adj-Mixed'!$A$20,VLOOKUP(A30,'337'!$A$6:$AB$188,13,FALSE),IF($C$1='Adj-Mixed'!$A$19,VLOOKUP(A30,'337'!$A$6:$AB$188,22,FALSE)))))</f>
        <v>14.747996849123677</v>
      </c>
      <c r="C30" s="26">
        <f t="shared" si="5"/>
        <v>510.12708557389175</v>
      </c>
      <c r="D30" s="27">
        <f t="shared" si="6"/>
        <v>0.73290100425404048</v>
      </c>
      <c r="E30" s="27">
        <f>IF(A30&gt;200,"",IF($C$1='Adj-Mixed'!$A$21,VLOOKUP(A30,'337'!$A$7:$AB$188,10,FALSE),IF($C$1='Adj-Mixed'!$A$20,VLOOKUP(A30,'337'!$A$7:$AB$188,19,FALSE),IF($C$1='Adj-Mixed'!$A$19,VLOOKUP(A30,'337'!$A$7:$AB$188,28,FALSE)))))</f>
        <v>1.3644407555667324</v>
      </c>
      <c r="F30" s="27">
        <f>IF(A30&gt;200,"",IF($C$1='Adj-Mixed'!$A$21,VLOOKUP(A30,'337'!$A$7:$AB$188,7,FALSE),IF($C$1='Adj-Mixed'!$A$20,VLOOKUP(A30,'337'!$A$7:$AB$188,16,FALSE),IF($C$1='Adj-Mixed'!$A$19,VLOOKUP(A30,'337'!$A$7:$AB$188,25,FALSE)))))</f>
        <v>0.69603818607549361</v>
      </c>
      <c r="G30" s="27">
        <f t="shared" si="8"/>
        <v>10.760731235944309</v>
      </c>
      <c r="I30" s="136">
        <f t="shared" si="1"/>
        <v>15.71280587960922</v>
      </c>
      <c r="J30" s="26">
        <f>IF(A30&gt;200,"",(C30*'Adj-Mixed'!$C$6))</f>
        <v>562.35614525699452</v>
      </c>
      <c r="K30" s="27">
        <f>IF(A30&gt;200,"",D30*'Adj-Mixed'!$C$7)</f>
        <v>0.65067658981000631</v>
      </c>
      <c r="L30" s="1">
        <f t="shared" si="2"/>
        <v>1.5368618076331808</v>
      </c>
      <c r="M30" s="27">
        <f t="shared" si="3"/>
        <v>0.86426368193329217</v>
      </c>
      <c r="N30" s="122">
        <f t="shared" si="7"/>
        <v>13.36149278060309</v>
      </c>
    </row>
    <row r="31" spans="1:14" ht="15" customHeight="1" x14ac:dyDescent="0.25">
      <c r="A31" s="22">
        <f t="shared" si="4"/>
        <v>49</v>
      </c>
      <c r="B31" s="28">
        <f>IF(A31&gt;200,"",IF($C$1='Adj-Mixed'!$A$21,VLOOKUP(A31,'337'!$A$6:$AB$188,4,FALSE),IF($C$1='Adj-Mixed'!$A$20,VLOOKUP(A31,'337'!$A$6:$AB$188,13,FALSE),IF($C$1='Adj-Mixed'!$A$19,VLOOKUP(A31,'337'!$A$6:$AB$188,22,FALSE)))))</f>
        <v>15.269546535810562</v>
      </c>
      <c r="C31" s="26">
        <f t="shared" si="5"/>
        <v>521.54968668688537</v>
      </c>
      <c r="D31" s="27">
        <f t="shared" si="6"/>
        <v>0.72533020170139884</v>
      </c>
      <c r="E31" s="27">
        <f>IF(A31&gt;200,"",IF($C$1='Adj-Mixed'!$A$21,VLOOKUP(A31,'337'!$A$7:$AB$188,10,FALSE),IF($C$1='Adj-Mixed'!$A$20,VLOOKUP(A31,'337'!$A$7:$AB$188,19,FALSE),IF($C$1='Adj-Mixed'!$A$19,VLOOKUP(A31,'337'!$A$7:$AB$188,28,FALSE)))))</f>
        <v>1.3786824230596098</v>
      </c>
      <c r="F31" s="27">
        <f>IF(A31&gt;200,"",IF($C$1='Adj-Mixed'!$A$21,VLOOKUP(A31,'337'!$A$7:$AB$188,7,FALSE),IF($C$1='Adj-Mixed'!$A$20,VLOOKUP(A31,'337'!$A$7:$AB$188,16,FALSE),IF($C$1='Adj-Mixed'!$A$19,VLOOKUP(A31,'337'!$A$7:$AB$188,25,FALSE)))))</f>
        <v>0.71905138578745542</v>
      </c>
      <c r="G31" s="27">
        <f t="shared" si="8"/>
        <v>11.479782621731765</v>
      </c>
      <c r="I31" s="136">
        <f t="shared" si="1"/>
        <v>16.287754122232471</v>
      </c>
      <c r="J31" s="26">
        <f>IF(A31&gt;200,"",(C31*'Adj-Mixed'!$C$6))</f>
        <v>574.94824262325153</v>
      </c>
      <c r="K31" s="27">
        <f>IF(A31&gt;200,"",D31*'Adj-Mixed'!$C$7)</f>
        <v>0.64395515818624749</v>
      </c>
      <c r="L31" s="1">
        <f t="shared" si="2"/>
        <v>1.5529031599289957</v>
      </c>
      <c r="M31" s="27">
        <f t="shared" si="3"/>
        <v>0.89283894276527009</v>
      </c>
      <c r="N31" s="122">
        <f t="shared" si="7"/>
        <v>14.25433172336836</v>
      </c>
    </row>
    <row r="32" spans="1:14" ht="15" customHeight="1" x14ac:dyDescent="0.25">
      <c r="A32" s="22">
        <f t="shared" si="4"/>
        <v>50</v>
      </c>
      <c r="B32" s="28">
        <f>IF(A32&gt;200,"",IF($C$1='Adj-Mixed'!$A$21,VLOOKUP(A32,'337'!$A$6:$AB$188,4,FALSE),IF($C$1='Adj-Mixed'!$A$20,VLOOKUP(A32,'337'!$A$6:$AB$188,13,FALSE),IF($C$1='Adj-Mixed'!$A$19,VLOOKUP(A32,'337'!$A$6:$AB$188,22,FALSE)))))</f>
        <v>15.802774594809183</v>
      </c>
      <c r="C32" s="26">
        <f t="shared" si="5"/>
        <v>533.22805899862044</v>
      </c>
      <c r="D32" s="27">
        <f t="shared" si="6"/>
        <v>0.71857365169872967</v>
      </c>
      <c r="E32" s="27">
        <f>IF(A32&gt;200,"",IF($C$1='Adj-Mixed'!$A$21,VLOOKUP(A32,'337'!$A$7:$AB$188,10,FALSE),IF($C$1='Adj-Mixed'!$A$20,VLOOKUP(A32,'337'!$A$7:$AB$188,19,FALSE),IF($C$1='Adj-Mixed'!$A$19,VLOOKUP(A32,'337'!$A$7:$AB$188,28,FALSE)))))</f>
        <v>1.3916457939084881</v>
      </c>
      <c r="F32" s="27">
        <f>IF(A32&gt;200,"",IF($C$1='Adj-Mixed'!$A$21,VLOOKUP(A32,'337'!$A$7:$AB$188,7,FALSE),IF($C$1='Adj-Mixed'!$A$20,VLOOKUP(A32,'337'!$A$7:$AB$188,16,FALSE),IF($C$1='Adj-Mixed'!$A$19,VLOOKUP(A32,'337'!$A$7:$AB$188,25,FALSE)))))</f>
        <v>0.74206458549941856</v>
      </c>
      <c r="G32" s="27">
        <f t="shared" si="8"/>
        <v>12.221847207231184</v>
      </c>
      <c r="I32" s="136">
        <f t="shared" si="1"/>
        <v>16.875576420403497</v>
      </c>
      <c r="J32" s="26">
        <f>IF(A32&gt;200,"",(C32*'Adj-Mixed'!$C$6))</f>
        <v>587.82229817102746</v>
      </c>
      <c r="K32" s="27">
        <f>IF(A32&gt;200,"",D32*'Adj-Mixed'!$C$7)</f>
        <v>0.63795662784026674</v>
      </c>
      <c r="L32" s="1">
        <f t="shared" si="2"/>
        <v>1.5675046803501234</v>
      </c>
      <c r="M32" s="27">
        <f t="shared" si="3"/>
        <v>0.92141420359725146</v>
      </c>
      <c r="N32" s="122">
        <f t="shared" si="7"/>
        <v>15.175745926965611</v>
      </c>
    </row>
    <row r="33" spans="1:14" ht="15" customHeight="1" x14ac:dyDescent="0.25">
      <c r="A33" s="22">
        <f t="shared" si="4"/>
        <v>51</v>
      </c>
      <c r="B33" s="28">
        <f>IF(A33&gt;200,"",IF($C$1='Adj-Mixed'!$A$21,VLOOKUP(A33,'337'!$A$6:$AB$188,4,FALSE),IF($C$1='Adj-Mixed'!$A$20,VLOOKUP(A33,'337'!$A$6:$AB$188,13,FALSE),IF($C$1='Adj-Mixed'!$A$19,VLOOKUP(A33,'337'!$A$6:$AB$188,22,FALSE)))))</f>
        <v>16.347942524464436</v>
      </c>
      <c r="C33" s="26">
        <f t="shared" si="5"/>
        <v>545.16792965525337</v>
      </c>
      <c r="D33" s="27">
        <f t="shared" si="6"/>
        <v>0.71256536288611527</v>
      </c>
      <c r="E33" s="27">
        <f>IF(A33&gt;200,"",IF($C$1='Adj-Mixed'!$A$21,VLOOKUP(A33,'337'!$A$7:$AB$188,10,FALSE),IF($C$1='Adj-Mixed'!$A$20,VLOOKUP(A33,'337'!$A$7:$AB$188,19,FALSE),IF($C$1='Adj-Mixed'!$A$19,VLOOKUP(A33,'337'!$A$7:$AB$188,28,FALSE)))))</f>
        <v>1.4033800295171288</v>
      </c>
      <c r="F33" s="27">
        <f>IF(A33&gt;200,"",IF($C$1='Adj-Mixed'!$A$21,VLOOKUP(A33,'337'!$A$7:$AB$188,7,FALSE),IF($C$1='Adj-Mixed'!$A$20,VLOOKUP(A33,'337'!$A$7:$AB$188,16,FALSE),IF($C$1='Adj-Mixed'!$A$19,VLOOKUP(A33,'337'!$A$7:$AB$188,25,FALSE)))))</f>
        <v>0.76507778521138148</v>
      </c>
      <c r="G33" s="27">
        <f t="shared" si="8"/>
        <v>12.986924992442566</v>
      </c>
      <c r="I33" s="136">
        <f t="shared" si="1"/>
        <v>17.476561045820446</v>
      </c>
      <c r="J33" s="26">
        <f>IF(A33&gt;200,"",(C33*'Adj-Mixed'!$C$6))</f>
        <v>600.98462541694789</v>
      </c>
      <c r="K33" s="27">
        <f>IF(A33&gt;200,"",D33*'Adj-Mixed'!$C$7)</f>
        <v>0.63262241100539607</v>
      </c>
      <c r="L33" s="1">
        <f t="shared" si="2"/>
        <v>1.5807217427070732</v>
      </c>
      <c r="M33" s="27">
        <f t="shared" si="3"/>
        <v>0.94998946442923538</v>
      </c>
      <c r="N33" s="122">
        <f t="shared" si="7"/>
        <v>16.125735391394848</v>
      </c>
    </row>
    <row r="34" spans="1:14" ht="15" customHeight="1" x14ac:dyDescent="0.25">
      <c r="A34" s="22">
        <f t="shared" si="4"/>
        <v>52</v>
      </c>
      <c r="B34" s="28">
        <f>IF(A34&gt;200,"",IF($C$1='Adj-Mixed'!$A$21,VLOOKUP(A34,'337'!$A$6:$AB$188,4,FALSE),IF($C$1='Adj-Mixed'!$A$20,VLOOKUP(A34,'337'!$A$6:$AB$188,13,FALSE),IF($C$1='Adj-Mixed'!$A$19,VLOOKUP(A34,'337'!$A$6:$AB$188,22,FALSE)))))</f>
        <v>16.905317678507799</v>
      </c>
      <c r="C34" s="26">
        <f t="shared" si="5"/>
        <v>557.37515404336341</v>
      </c>
      <c r="D34" s="27">
        <f t="shared" si="6"/>
        <v>0.7072472147331712</v>
      </c>
      <c r="E34" s="27">
        <f>IF(A34&gt;200,"",IF($C$1='Adj-Mixed'!$A$21,VLOOKUP(A34,'337'!$A$7:$AB$188,10,FALSE),IF($C$1='Adj-Mixed'!$A$20,VLOOKUP(A34,'337'!$A$7:$AB$188,19,FALSE),IF($C$1='Adj-Mixed'!$A$19,VLOOKUP(A34,'337'!$A$7:$AB$188,28,FALSE)))))</f>
        <v>1.4139327510498263</v>
      </c>
      <c r="F34" s="27">
        <f>IF(A34&gt;200,"",IF($C$1='Adj-Mixed'!$A$21,VLOOKUP(A34,'337'!$A$7:$AB$188,7,FALSE),IF($C$1='Adj-Mixed'!$A$20,VLOOKUP(A34,'337'!$A$7:$AB$188,16,FALSE),IF($C$1='Adj-Mixed'!$A$19,VLOOKUP(A34,'337'!$A$7:$AB$188,25,FALSE)))))</f>
        <v>0.78809098492335095</v>
      </c>
      <c r="G34" s="27">
        <f t="shared" si="8"/>
        <v>13.775015977365916</v>
      </c>
      <c r="I34" s="136">
        <f t="shared" si="1"/>
        <v>18.091002725068329</v>
      </c>
      <c r="J34" s="26">
        <f>IF(A34&gt;200,"",(C34*'Adj-Mixed'!$C$6))</f>
        <v>614.44167924788064</v>
      </c>
      <c r="K34" s="27">
        <f>IF(A34&gt;200,"",D34*'Adj-Mixed'!$C$7)</f>
        <v>0.62790090771344187</v>
      </c>
      <c r="L34" s="1">
        <f t="shared" si="2"/>
        <v>1.5926079859345812</v>
      </c>
      <c r="M34" s="27">
        <f t="shared" si="3"/>
        <v>0.97856472526122917</v>
      </c>
      <c r="N34" s="122">
        <f t="shared" si="7"/>
        <v>17.104300116656077</v>
      </c>
    </row>
    <row r="35" spans="1:14" ht="15" customHeight="1" x14ac:dyDescent="0.25">
      <c r="A35" s="22">
        <f t="shared" si="4"/>
        <v>53</v>
      </c>
      <c r="B35" s="28">
        <f>IF(A35&gt;200,"",IF($C$1='Adj-Mixed'!$A$21,VLOOKUP(A35,'337'!$A$6:$AB$188,4,FALSE),IF($C$1='Adj-Mixed'!$A$20,VLOOKUP(A35,'337'!$A$6:$AB$188,13,FALSE),IF($C$1='Adj-Mixed'!$A$19,VLOOKUP(A35,'337'!$A$6:$AB$188,22,FALSE)))))</f>
        <v>17.475173397169222</v>
      </c>
      <c r="C35" s="26">
        <f t="shared" si="5"/>
        <v>569.85571866142232</v>
      </c>
      <c r="D35" s="27">
        <f t="shared" si="6"/>
        <v>0.7025678444966228</v>
      </c>
      <c r="E35" s="27">
        <f>IF(A35&gt;200,"",IF($C$1='Adj-Mixed'!$A$21,VLOOKUP(A35,'337'!$A$7:$AB$188,10,FALSE),IF($C$1='Adj-Mixed'!$A$20,VLOOKUP(A35,'337'!$A$7:$AB$188,19,FALSE),IF($C$1='Adj-Mixed'!$A$19,VLOOKUP(A35,'337'!$A$7:$AB$188,28,FALSE)))))</f>
        <v>1.4233500833168389</v>
      </c>
      <c r="F35" s="27">
        <f>IF(A35&gt;200,"",IF($C$1='Adj-Mixed'!$A$21,VLOOKUP(A35,'337'!$A$7:$AB$188,7,FALSE),IF($C$1='Adj-Mixed'!$A$20,VLOOKUP(A35,'337'!$A$7:$AB$188,16,FALSE),IF($C$1='Adj-Mixed'!$A$19,VLOOKUP(A35,'337'!$A$7:$AB$188,25,FALSE)))))</f>
        <v>0.81110418463531508</v>
      </c>
      <c r="G35" s="27">
        <f t="shared" si="8"/>
        <v>14.586120162001231</v>
      </c>
      <c r="I35" s="136">
        <f t="shared" si="1"/>
        <v>18.719202784154728</v>
      </c>
      <c r="J35" s="26">
        <f>IF(A35&gt;200,"",(C35*'Adj-Mixed'!$C$6))</f>
        <v>628.20005908639996</v>
      </c>
      <c r="K35" s="27">
        <f>IF(A35&gt;200,"",D35*'Adj-Mixed'!$C$7)</f>
        <v>0.6237465176248721</v>
      </c>
      <c r="L35" s="1">
        <f t="shared" si="2"/>
        <v>1.603215363522736</v>
      </c>
      <c r="M35" s="27">
        <f t="shared" si="3"/>
        <v>1.0071399860932071</v>
      </c>
      <c r="N35" s="122">
        <f t="shared" si="7"/>
        <v>18.111440102749285</v>
      </c>
    </row>
    <row r="36" spans="1:14" ht="15" customHeight="1" x14ac:dyDescent="0.25">
      <c r="A36" s="22">
        <f t="shared" si="4"/>
        <v>54</v>
      </c>
      <c r="B36" s="28">
        <f>IF(A36&gt;200,"",IF($C$1='Adj-Mixed'!$A$21,VLOOKUP(A36,'337'!$A$6:$AB$188,4,FALSE),IF($C$1='Adj-Mixed'!$A$20,VLOOKUP(A36,'337'!$A$6:$AB$188,13,FALSE),IF($C$1='Adj-Mixed'!$A$19,VLOOKUP(A36,'337'!$A$6:$AB$188,22,FALSE)))))</f>
        <v>18.057789141224923</v>
      </c>
      <c r="C36" s="26">
        <f t="shared" si="5"/>
        <v>582.61574405570116</v>
      </c>
      <c r="D36" s="27">
        <f t="shared" si="6"/>
        <v>0.69848171850730134</v>
      </c>
      <c r="E36" s="27">
        <f>IF(A36&gt;200,"",IF($C$1='Adj-Mixed'!$A$21,VLOOKUP(A36,'337'!$A$7:$AB$188,10,FALSE),IF($C$1='Adj-Mixed'!$A$20,VLOOKUP(A36,'337'!$A$7:$AB$188,19,FALSE),IF($C$1='Adj-Mixed'!$A$19,VLOOKUP(A36,'337'!$A$7:$AB$188,28,FALSE)))))</f>
        <v>1.4316766974761514</v>
      </c>
      <c r="F36" s="27">
        <f>IF(A36&gt;200,"",IF($C$1='Adj-Mixed'!$A$21,VLOOKUP(A36,'337'!$A$7:$AB$188,7,FALSE),IF($C$1='Adj-Mixed'!$A$20,VLOOKUP(A36,'337'!$A$7:$AB$188,16,FALSE),IF($C$1='Adj-Mixed'!$A$19,VLOOKUP(A36,'337'!$A$7:$AB$188,25,FALSE)))))</f>
        <v>0.83411738434727445</v>
      </c>
      <c r="G36" s="27">
        <f t="shared" si="8"/>
        <v>15.420237546348506</v>
      </c>
      <c r="I36" s="136">
        <f t="shared" ref="I36:I67" si="9">IF(A36&gt;200,"",I35+(J36/1000))</f>
        <v>19.36146929628201</v>
      </c>
      <c r="J36" s="26">
        <f>IF(A36&gt;200,"",(C36*'Adj-Mixed'!$C$6))</f>
        <v>642.2665121272837</v>
      </c>
      <c r="K36" s="27">
        <f>IF(A36&gt;200,"",D36*'Adj-Mixed'!$C$7)</f>
        <v>0.62011881550844261</v>
      </c>
      <c r="L36" s="1">
        <f t="shared" ref="L36:L67" si="10">IF(A36&gt;200,"",1/K36)</f>
        <v>1.6125941916148576</v>
      </c>
      <c r="M36" s="27">
        <f t="shared" ref="M36:M67" si="11">IF(A36&gt;200,"",(J36/1000)/K36)</f>
        <v>1.0357152469251911</v>
      </c>
      <c r="N36" s="122">
        <f t="shared" si="7"/>
        <v>19.147155349674478</v>
      </c>
    </row>
    <row r="37" spans="1:14" ht="15" customHeight="1" x14ac:dyDescent="0.25">
      <c r="A37" s="22">
        <f t="shared" si="4"/>
        <v>55</v>
      </c>
      <c r="B37" s="28">
        <f>IF(A37&gt;200,"",IF($C$1='Adj-Mixed'!$A$21,VLOOKUP(A37,'337'!$A$6:$AB$188,4,FALSE),IF($C$1='Adj-Mixed'!$A$20,VLOOKUP(A37,'337'!$A$6:$AB$188,13,FALSE),IF($C$1='Adj-Mixed'!$A$19,VLOOKUP(A37,'337'!$A$6:$AB$188,22,FALSE)))))</f>
        <v>18.653450629046631</v>
      </c>
      <c r="C37" s="26">
        <f t="shared" si="5"/>
        <v>595.66148782170808</v>
      </c>
      <c r="D37" s="27">
        <f t="shared" si="6"/>
        <v>0.69332963238585466</v>
      </c>
      <c r="E37" s="27">
        <f>IF(A37&gt;200,"",IF($C$1='Adj-Mixed'!$A$21,VLOOKUP(A37,'337'!$A$7:$AB$188,10,FALSE),IF($C$1='Adj-Mixed'!$A$20,VLOOKUP(A37,'337'!$A$7:$AB$188,19,FALSE),IF($C$1='Adj-Mixed'!$A$19,VLOOKUP(A37,'337'!$A$7:$AB$188,28,FALSE)))))</f>
        <v>1.4423153912502558</v>
      </c>
      <c r="F37" s="27">
        <f>IF(A37&gt;200,"",IF($C$1='Adj-Mixed'!$A$21,VLOOKUP(A37,'337'!$A$7:$AB$188,7,FALSE),IF($C$1='Adj-Mixed'!$A$20,VLOOKUP(A37,'337'!$A$7:$AB$188,16,FALSE),IF($C$1='Adj-Mixed'!$A$19,VLOOKUP(A37,'337'!$A$7:$AB$188,25,FALSE)))))</f>
        <v>0.85913173186028158</v>
      </c>
      <c r="G37" s="27">
        <f t="shared" si="8"/>
        <v>16.279369278208787</v>
      </c>
      <c r="I37" s="136">
        <f t="shared" si="9"/>
        <v>20.018117232928262</v>
      </c>
      <c r="J37" s="26">
        <f>IF(A37&gt;200,"",(C37*'Adj-Mixed'!$C$6))</f>
        <v>656.64793664625176</v>
      </c>
      <c r="K37" s="27">
        <f>IF(A37&gt;200,"",D37*'Adj-Mixed'!$C$7)</f>
        <v>0.61554474369185064</v>
      </c>
      <c r="L37" s="1">
        <f t="shared" si="10"/>
        <v>1.6245772711863371</v>
      </c>
      <c r="M37" s="27">
        <f t="shared" si="11"/>
        <v>1.0667753130469064</v>
      </c>
      <c r="N37" s="122">
        <f t="shared" ref="N37:N68" si="12">IF(A37&gt;200,"",N36+M37)</f>
        <v>20.213930662721385</v>
      </c>
    </row>
    <row r="38" spans="1:14" ht="15" customHeight="1" x14ac:dyDescent="0.25">
      <c r="A38" s="22">
        <f t="shared" si="4"/>
        <v>56</v>
      </c>
      <c r="B38" s="28">
        <f>IF(A38&gt;200,"",IF($C$1='Adj-Mixed'!$A$21,VLOOKUP(A38,'337'!$A$6:$AB$188,4,FALSE),IF($C$1='Adj-Mixed'!$A$20,VLOOKUP(A38,'337'!$A$6:$AB$188,13,FALSE),IF($C$1='Adj-Mixed'!$A$19,VLOOKUP(A38,'337'!$A$6:$AB$188,22,FALSE)))))</f>
        <v>19.262449976719694</v>
      </c>
      <c r="C38" s="26">
        <f t="shared" si="5"/>
        <v>608.99934767306263</v>
      </c>
      <c r="D38" s="27">
        <f t="shared" si="6"/>
        <v>0.68879946637860923</v>
      </c>
      <c r="E38" s="27">
        <f>IF(A38&gt;200,"",IF($C$1='Adj-Mixed'!$A$21,VLOOKUP(A38,'337'!$A$7:$AB$188,10,FALSE),IF($C$1='Adj-Mixed'!$A$20,VLOOKUP(A38,'337'!$A$7:$AB$188,19,FALSE),IF($C$1='Adj-Mixed'!$A$19,VLOOKUP(A38,'337'!$A$7:$AB$188,28,FALSE)))))</f>
        <v>1.4518013570154751</v>
      </c>
      <c r="F38" s="27">
        <f>IF(A38&gt;200,"",IF($C$1='Adj-Mixed'!$A$21,VLOOKUP(A38,'337'!$A$7:$AB$188,7,FALSE),IF($C$1='Adj-Mixed'!$A$20,VLOOKUP(A38,'337'!$A$7:$AB$188,16,FALSE),IF($C$1='Adj-Mixed'!$A$19,VLOOKUP(A38,'337'!$A$7:$AB$188,25,FALSE)))))</f>
        <v>0.88414607937328626</v>
      </c>
      <c r="G38" s="27">
        <f t="shared" si="8"/>
        <v>17.163515357582074</v>
      </c>
      <c r="I38" s="136">
        <f t="shared" si="9"/>
        <v>20.689468618311306</v>
      </c>
      <c r="J38" s="26">
        <f>IF(A38&gt;200,"",(C38*'Adj-Mixed'!$C$6))</f>
        <v>671.35138538304568</v>
      </c>
      <c r="K38" s="27">
        <f>IF(A38&gt;200,"",D38*'Adj-Mixed'!$C$7)</f>
        <v>0.61152281855904511</v>
      </c>
      <c r="L38" s="1">
        <f t="shared" si="10"/>
        <v>1.6352619553205532</v>
      </c>
      <c r="M38" s="27">
        <f t="shared" si="11"/>
        <v>1.0978353791686417</v>
      </c>
      <c r="N38" s="122">
        <f t="shared" si="12"/>
        <v>21.311766041890028</v>
      </c>
    </row>
    <row r="39" spans="1:14" ht="15" customHeight="1" x14ac:dyDescent="0.25">
      <c r="A39" s="22">
        <f t="shared" si="4"/>
        <v>57</v>
      </c>
      <c r="B39" s="28">
        <f>IF(A39&gt;200,"",IF($C$1='Adj-Mixed'!$A$21,VLOOKUP(A39,'337'!$A$6:$AB$188,4,FALSE),IF($C$1='Adj-Mixed'!$A$20,VLOOKUP(A39,'337'!$A$6:$AB$188,13,FALSE),IF($C$1='Adj-Mixed'!$A$19,VLOOKUP(A39,'337'!$A$6:$AB$188,22,FALSE)))))</f>
        <v>19.885085841298569</v>
      </c>
      <c r="C39" s="26">
        <f t="shared" si="5"/>
        <v>622.63586457887504</v>
      </c>
      <c r="D39" s="27">
        <f t="shared" si="6"/>
        <v>0.68109917236712658</v>
      </c>
      <c r="E39" s="27">
        <f>IF(A39&gt;200,"",IF($C$1='Adj-Mixed'!$A$21,VLOOKUP(A39,'337'!$A$7:$AB$188,10,FALSE),IF($C$1='Adj-Mixed'!$A$20,VLOOKUP(A39,'337'!$A$7:$AB$188,19,FALSE),IF($C$1='Adj-Mixed'!$A$19,VLOOKUP(A39,'337'!$A$7:$AB$188,28,FALSE)))))</f>
        <v>1.4682149686433319</v>
      </c>
      <c r="F39" s="27">
        <f>IF(A39&gt;200,"",IF($C$1='Adj-Mixed'!$A$21,VLOOKUP(A39,'337'!$A$7:$AB$188,7,FALSE),IF($C$1='Adj-Mixed'!$A$20,VLOOKUP(A39,'337'!$A$7:$AB$188,16,FALSE),IF($C$1='Adj-Mixed'!$A$19,VLOOKUP(A39,'337'!$A$7:$AB$188,25,FALSE)))))</f>
        <v>0.91416329638889193</v>
      </c>
      <c r="G39" s="27">
        <f t="shared" si="8"/>
        <v>18.077678653970967</v>
      </c>
      <c r="I39" s="136">
        <f t="shared" si="9"/>
        <v>21.375852687311333</v>
      </c>
      <c r="J39" s="26">
        <f>IF(A39&gt;200,"",(C39*'Adj-Mixed'!$C$6))</f>
        <v>686.38406900002587</v>
      </c>
      <c r="K39" s="27">
        <f>IF(A39&gt;200,"",D39*'Adj-Mixed'!$C$7)</f>
        <v>0.60468642316752075</v>
      </c>
      <c r="L39" s="1">
        <f t="shared" si="10"/>
        <v>1.65374971503695</v>
      </c>
      <c r="M39" s="27">
        <f t="shared" si="11"/>
        <v>1.135107458514695</v>
      </c>
      <c r="N39" s="122">
        <f t="shared" si="12"/>
        <v>22.446873500404724</v>
      </c>
    </row>
    <row r="40" spans="1:14" ht="15" customHeight="1" x14ac:dyDescent="0.25">
      <c r="A40" s="22">
        <f t="shared" si="4"/>
        <v>58</v>
      </c>
      <c r="B40" s="28">
        <f>IF(A40&gt;200,"",IF($C$1='Adj-Mixed'!$A$21,VLOOKUP(A40,'337'!$A$6:$AB$188,4,FALSE),IF($C$1='Adj-Mixed'!$A$20,VLOOKUP(A40,'337'!$A$6:$AB$188,13,FALSE),IF($C$1='Adj-Mixed'!$A$19,VLOOKUP(A40,'337'!$A$6:$AB$188,22,FALSE)))))</f>
        <v>20.521663567270142</v>
      </c>
      <c r="C40" s="26">
        <f t="shared" si="5"/>
        <v>636.5777259715735</v>
      </c>
      <c r="D40" s="27">
        <f t="shared" si="6"/>
        <v>0.67421188738181093</v>
      </c>
      <c r="E40" s="27">
        <f>IF(A40&gt;200,"",IF($C$1='Adj-Mixed'!$A$21,VLOOKUP(A40,'337'!$A$7:$AB$188,10,FALSE),IF($C$1='Adj-Mixed'!$A$20,VLOOKUP(A40,'337'!$A$7:$AB$188,19,FALSE),IF($C$1='Adj-Mixed'!$A$19,VLOOKUP(A40,'337'!$A$7:$AB$188,28,FALSE)))))</f>
        <v>1.4832132430701166</v>
      </c>
      <c r="F40" s="27">
        <f>IF(A40&gt;200,"",IF($C$1='Adj-Mixed'!$A$21,VLOOKUP(A40,'337'!$A$7:$AB$188,7,FALSE),IF($C$1='Adj-Mixed'!$A$20,VLOOKUP(A40,'337'!$A$7:$AB$188,16,FALSE),IF($C$1='Adj-Mixed'!$A$19,VLOOKUP(A40,'337'!$A$7:$AB$188,25,FALSE)))))</f>
        <v>0.94418051340449494</v>
      </c>
      <c r="G40" s="27">
        <f t="shared" si="8"/>
        <v>19.02185916737546</v>
      </c>
      <c r="I40" s="136">
        <f t="shared" si="9"/>
        <v>22.077606046929766</v>
      </c>
      <c r="J40" s="26">
        <f>IF(A40&gt;200,"",(C40*'Adj-Mixed'!$C$6))</f>
        <v>701.75335961843109</v>
      </c>
      <c r="K40" s="27">
        <f>IF(A40&gt;200,"",D40*'Adj-Mixed'!$C$7)</f>
        <v>0.59857182504133033</v>
      </c>
      <c r="L40" s="1">
        <f t="shared" si="10"/>
        <v>1.6706432848404646</v>
      </c>
      <c r="M40" s="27">
        <f t="shared" si="11"/>
        <v>1.1723795378607675</v>
      </c>
      <c r="N40" s="122">
        <f t="shared" si="12"/>
        <v>23.619253038265491</v>
      </c>
    </row>
    <row r="41" spans="1:14" ht="15" customHeight="1" x14ac:dyDescent="0.25">
      <c r="A41" s="22">
        <f t="shared" si="4"/>
        <v>59</v>
      </c>
      <c r="B41" s="28">
        <f>IF(A41&gt;200,"",IF($C$1='Adj-Mixed'!$A$21,VLOOKUP(A41,'337'!$A$6:$AB$188,4,FALSE),IF($C$1='Adj-Mixed'!$A$20,VLOOKUP(A41,'337'!$A$6:$AB$188,13,FALSE),IF($C$1='Adj-Mixed'!$A$19,VLOOKUP(A41,'337'!$A$6:$AB$188,22,FALSE)))))</f>
        <v>21.172495336296514</v>
      </c>
      <c r="C41" s="26">
        <f t="shared" si="5"/>
        <v>650.8317690263716</v>
      </c>
      <c r="D41" s="27">
        <f t="shared" si="6"/>
        <v>0.66806947779042103</v>
      </c>
      <c r="E41" s="27">
        <f>IF(A41&gt;200,"",IF($C$1='Adj-Mixed'!$A$21,VLOOKUP(A41,'337'!$A$7:$AB$188,10,FALSE),IF($C$1='Adj-Mixed'!$A$20,VLOOKUP(A41,'337'!$A$7:$AB$188,19,FALSE),IF($C$1='Adj-Mixed'!$A$19,VLOOKUP(A41,'337'!$A$7:$AB$188,28,FALSE)))))</f>
        <v>1.4968503026173399</v>
      </c>
      <c r="F41" s="27">
        <f>IF(A41&gt;200,"",IF($C$1='Adj-Mixed'!$A$21,VLOOKUP(A41,'337'!$A$7:$AB$188,7,FALSE),IF($C$1='Adj-Mixed'!$A$20,VLOOKUP(A41,'337'!$A$7:$AB$188,16,FALSE),IF($C$1='Adj-Mixed'!$A$19,VLOOKUP(A41,'337'!$A$7:$AB$188,25,FALSE)))))</f>
        <v>0.97419773042010571</v>
      </c>
      <c r="G41" s="27">
        <f t="shared" si="8"/>
        <v>19.996056897795565</v>
      </c>
      <c r="I41" s="136">
        <f t="shared" si="9"/>
        <v>22.795072841363378</v>
      </c>
      <c r="J41" s="26">
        <f>IF(A41&gt;200,"",(C41*'Adj-Mixed'!$C$6))</f>
        <v>717.46679443361188</v>
      </c>
      <c r="K41" s="27">
        <f>IF(A41&gt;200,"",D41*'Adj-Mixed'!$C$7)</f>
        <v>0.59311853448374707</v>
      </c>
      <c r="L41" s="1">
        <f t="shared" si="10"/>
        <v>1.6860036263584384</v>
      </c>
      <c r="M41" s="27">
        <f t="shared" si="11"/>
        <v>1.2096516172068337</v>
      </c>
      <c r="N41" s="122">
        <f t="shared" si="12"/>
        <v>24.828904655472325</v>
      </c>
    </row>
    <row r="42" spans="1:14" ht="15" customHeight="1" x14ac:dyDescent="0.25">
      <c r="A42" s="149">
        <f t="shared" si="4"/>
        <v>60</v>
      </c>
      <c r="B42" s="150">
        <f>IF(A42&gt;200,"",IF($C$1='Adj-Mixed'!$A$21,VLOOKUP(A42,'337'!$A$6:$AB$188,4,FALSE),IF($C$1='Adj-Mixed'!$A$20,VLOOKUP(A42,'337'!$A$6:$AB$188,13,FALSE),IF($C$1='Adj-Mixed'!$A$19,VLOOKUP(A42,'337'!$A$6:$AB$188,22,FALSE)))))</f>
        <v>21.837527586510877</v>
      </c>
      <c r="C42" s="70">
        <f t="shared" si="5"/>
        <v>665.0322502143631</v>
      </c>
      <c r="D42" s="146">
        <f t="shared" si="6"/>
        <v>0.666827877094472</v>
      </c>
      <c r="E42" s="146">
        <f>IF(A42&gt;200,"",IF($C$1='Adj-Mixed'!$A$21,VLOOKUP(A42,'337'!$A$7:$AB$188,10,FALSE),IF($C$1='Adj-Mixed'!$A$20,VLOOKUP(A42,'337'!$A$7:$AB$188,19,FALSE),IF($C$1='Adj-Mixed'!$A$19,VLOOKUP(A42,'337'!$A$7:$AB$188,28,FALSE)))))</f>
        <v>1.4996373642284397</v>
      </c>
      <c r="F42" s="146">
        <f>IF(A42&gt;200,"",IF($C$1='Adj-Mixed'!$A$21,VLOOKUP(A42,'337'!$A$7:$AB$188,7,FALSE),IF($C$1='Adj-Mixed'!$A$20,VLOOKUP(A42,'337'!$A$7:$AB$188,16,FALSE),IF($C$1='Adj-Mixed'!$A$19,VLOOKUP(A42,'337'!$A$7:$AB$188,25,FALSE)))))</f>
        <v>0.99730721083837304</v>
      </c>
      <c r="G42" s="146">
        <f t="shared" si="8"/>
        <v>20.993364108633937</v>
      </c>
      <c r="H42" s="151"/>
      <c r="I42" s="152">
        <f t="shared" si="9"/>
        <v>23.528194024845337</v>
      </c>
      <c r="J42" s="70">
        <f>IF(A42&gt;200,"",(C42*'Adj-Mixed'!$C$6))</f>
        <v>733.12118348195941</v>
      </c>
      <c r="K42" s="146">
        <f>IF(A42&gt;200,"",D42*'Adj-Mixed'!$C$7)</f>
        <v>0.5920162293947151</v>
      </c>
      <c r="L42" s="148">
        <f t="shared" si="10"/>
        <v>1.6891428821510732</v>
      </c>
      <c r="M42" s="146">
        <f t="shared" si="11"/>
        <v>1.2383464288327228</v>
      </c>
      <c r="N42" s="153">
        <f t="shared" si="12"/>
        <v>26.067251084305049</v>
      </c>
    </row>
    <row r="43" spans="1:14" ht="15" customHeight="1" x14ac:dyDescent="0.25">
      <c r="A43" s="22">
        <f t="shared" si="4"/>
        <v>61</v>
      </c>
      <c r="B43" s="28">
        <f>IF(A43&gt;200,"",IF($C$1='Adj-Mixed'!$A$21,VLOOKUP(A43,'337'!$A$6:$AB$188,4,FALSE),IF($C$1='Adj-Mixed'!$A$20,VLOOKUP(A43,'337'!$A$6:$AB$188,13,FALSE),IF($C$1='Adj-Mixed'!$A$19,VLOOKUP(A43,'337'!$A$6:$AB$188,22,FALSE)))))</f>
        <v>22.51948983261164</v>
      </c>
      <c r="C43" s="26">
        <f t="shared" si="5"/>
        <v>681.96224610076331</v>
      </c>
      <c r="D43" s="27">
        <f t="shared" si="6"/>
        <v>0.65237117749106799</v>
      </c>
      <c r="E43" s="27">
        <f>IF(A43&gt;200,"",IF($C$1='Adj-Mixed'!$A$21,VLOOKUP(A43,'337'!$A$7:$AB$188,10,FALSE),IF($C$1='Adj-Mixed'!$A$20,VLOOKUP(A43,'337'!$A$7:$AB$188,19,FALSE),IF($C$1='Adj-Mixed'!$A$19,VLOOKUP(A43,'337'!$A$7:$AB$188,28,FALSE)))))</f>
        <v>1.5328696829401105</v>
      </c>
      <c r="F43" s="27">
        <f>IF(A43&gt;200,"",IF($C$1='Adj-Mixed'!$A$21,VLOOKUP(A43,'337'!$A$7:$AB$188,7,FALSE),IF($C$1='Adj-Mixed'!$A$20,VLOOKUP(A43,'337'!$A$7:$AB$188,16,FALSE),IF($C$1='Adj-Mixed'!$A$19,VLOOKUP(A43,'337'!$A$7:$AB$188,25,FALSE)))))</f>
        <v>1.0453592519576054</v>
      </c>
      <c r="G43" s="27">
        <f t="shared" si="8"/>
        <v>22.038723360591543</v>
      </c>
      <c r="I43" s="136">
        <f t="shared" si="9"/>
        <v>24.279978571820696</v>
      </c>
      <c r="J43" s="26">
        <f>IF(A43&gt;200,"",(C43*'Adj-Mixed'!$C$6))</f>
        <v>751.78454697535642</v>
      </c>
      <c r="K43" s="27">
        <f>IF(A43&gt;200,"",D43*'Adj-Mixed'!$C$7)</f>
        <v>0.57918143186646664</v>
      </c>
      <c r="L43" s="1">
        <f t="shared" si="10"/>
        <v>1.7265746879650576</v>
      </c>
      <c r="M43" s="27">
        <f t="shared" si="11"/>
        <v>1.2980121696109284</v>
      </c>
      <c r="N43" s="122">
        <f t="shared" si="12"/>
        <v>27.365263253915977</v>
      </c>
    </row>
    <row r="44" spans="1:14" ht="15" customHeight="1" x14ac:dyDescent="0.25">
      <c r="A44" s="22">
        <f t="shared" si="4"/>
        <v>62</v>
      </c>
      <c r="B44" s="28">
        <f>IF(A44&gt;200,"",IF($C$1='Adj-Mixed'!$A$21,VLOOKUP(A44,'337'!$A$6:$AB$188,4,FALSE),IF($C$1='Adj-Mixed'!$A$20,VLOOKUP(A44,'337'!$A$6:$AB$188,13,FALSE),IF($C$1='Adj-Mixed'!$A$19,VLOOKUP(A44,'337'!$A$6:$AB$188,22,FALSE)))))</f>
        <v>23.211066481537145</v>
      </c>
      <c r="C44" s="26">
        <f t="shared" si="5"/>
        <v>691.57664892550486</v>
      </c>
      <c r="D44" s="27">
        <f t="shared" si="6"/>
        <v>0.6438569720193934</v>
      </c>
      <c r="E44" s="27">
        <f>IF(A44&gt;200,"",IF($C$1='Adj-Mixed'!$A$21,VLOOKUP(A44,'337'!$A$7:$AB$188,10,FALSE),IF($C$1='Adj-Mixed'!$A$20,VLOOKUP(A44,'337'!$A$7:$AB$188,19,FALSE),IF($C$1='Adj-Mixed'!$A$19,VLOOKUP(A44,'337'!$A$7:$AB$188,28,FALSE)))))</f>
        <v>1.5531399727855697</v>
      </c>
      <c r="F44" s="27">
        <f>IF(A44&gt;200,"",IF($C$1='Adj-Mixed'!$A$21,VLOOKUP(A44,'337'!$A$7:$AB$188,7,FALSE),IF($C$1='Adj-Mixed'!$A$20,VLOOKUP(A44,'337'!$A$7:$AB$188,16,FALSE),IF($C$1='Adj-Mixed'!$A$19,VLOOKUP(A44,'337'!$A$7:$AB$188,25,FALSE)))))</f>
        <v>1.074115337691294</v>
      </c>
      <c r="G44" s="27">
        <f t="shared" si="8"/>
        <v>23.112838698282836</v>
      </c>
      <c r="I44" s="136">
        <f t="shared" si="9"/>
        <v>25.042361886562691</v>
      </c>
      <c r="J44" s="26">
        <f>IF(A44&gt;200,"",(C44*'Adj-Mixed'!$C$6))</f>
        <v>762.38331474199458</v>
      </c>
      <c r="K44" s="27">
        <f>IF(A44&gt;200,"",D44*'Adj-Mixed'!$C$7)</f>
        <v>0.57162243801996526</v>
      </c>
      <c r="L44" s="1">
        <f t="shared" si="10"/>
        <v>1.7494064849236597</v>
      </c>
      <c r="M44" s="27">
        <f t="shared" si="11"/>
        <v>1.3337183148072409</v>
      </c>
      <c r="N44" s="122">
        <f t="shared" si="12"/>
        <v>28.698981568723219</v>
      </c>
    </row>
    <row r="45" spans="1:14" x14ac:dyDescent="0.25">
      <c r="A45" s="22">
        <f t="shared" si="4"/>
        <v>63</v>
      </c>
      <c r="B45" s="28">
        <f>IF(A45&gt;200,"",IF($C$1='Adj-Mixed'!$A$21,VLOOKUP(A45,'337'!$A$6:$AB$188,4,FALSE),IF($C$1='Adj-Mixed'!$A$20,VLOOKUP(A45,'337'!$A$6:$AB$188,13,FALSE),IF($C$1='Adj-Mixed'!$A$19,VLOOKUP(A45,'337'!$A$6:$AB$188,22,FALSE)))))</f>
        <v>23.9121241665786</v>
      </c>
      <c r="C45" s="26">
        <f t="shared" si="5"/>
        <v>701.05768504145522</v>
      </c>
      <c r="D45" s="27">
        <f t="shared" si="6"/>
        <v>0.63560185899004595</v>
      </c>
      <c r="E45" s="27">
        <f>IF(A45&gt;200,"",IF($C$1='Adj-Mixed'!$A$21,VLOOKUP(A45,'337'!$A$7:$AB$188,10,FALSE),IF($C$1='Adj-Mixed'!$A$20,VLOOKUP(A45,'337'!$A$7:$AB$188,19,FALSE),IF($C$1='Adj-Mixed'!$A$19,VLOOKUP(A45,'337'!$A$7:$AB$188,28,FALSE)))))</f>
        <v>1.5733119496990975</v>
      </c>
      <c r="F45" s="27">
        <f>IF(A45&gt;200,"",IF($C$1='Adj-Mixed'!$A$21,VLOOKUP(A45,'337'!$A$7:$AB$188,7,FALSE),IF($C$1='Adj-Mixed'!$A$20,VLOOKUP(A45,'337'!$A$7:$AB$188,16,FALSE),IF($C$1='Adj-Mixed'!$A$19,VLOOKUP(A45,'337'!$A$7:$AB$188,25,FALSE)))))</f>
        <v>1.1029824333041021</v>
      </c>
      <c r="G45" s="27">
        <f t="shared" si="8"/>
        <v>24.215821131586939</v>
      </c>
      <c r="H45" s="1"/>
      <c r="I45" s="136">
        <f t="shared" si="9"/>
        <v>25.815196947691</v>
      </c>
      <c r="J45" s="26">
        <f>IF(A45&gt;200,"",(C45*'Adj-Mixed'!$C$6))</f>
        <v>772.83506112830935</v>
      </c>
      <c r="K45" s="27">
        <f>IF(A45&gt;200,"",D45*'Adj-Mixed'!$C$7)</f>
        <v>0.56429346894603283</v>
      </c>
      <c r="L45" s="1">
        <f t="shared" si="10"/>
        <v>1.7721275453847876</v>
      </c>
      <c r="M45" s="27">
        <f t="shared" si="11"/>
        <v>1.3695622998646131</v>
      </c>
      <c r="N45" s="122">
        <f t="shared" si="12"/>
        <v>30.068543868587831</v>
      </c>
    </row>
    <row r="46" spans="1:14" x14ac:dyDescent="0.25">
      <c r="A46" s="22">
        <f t="shared" si="4"/>
        <v>64</v>
      </c>
      <c r="B46" s="28">
        <f>IF(A46&gt;200,"",IF($C$1='Adj-Mixed'!$A$21,VLOOKUP(A46,'337'!$A$6:$AB$188,4,FALSE),IF($C$1='Adj-Mixed'!$A$20,VLOOKUP(A46,'337'!$A$6:$AB$188,13,FALSE),IF($C$1='Adj-Mixed'!$A$19,VLOOKUP(A46,'337'!$A$6:$AB$188,22,FALSE)))))</f>
        <v>24.622527461583413</v>
      </c>
      <c r="C46" s="26">
        <f t="shared" si="5"/>
        <v>710.40329500481289</v>
      </c>
      <c r="D46" s="27">
        <f t="shared" si="6"/>
        <v>0.62759793421497501</v>
      </c>
      <c r="E46" s="27">
        <f>IF(A46&gt;200,"",IF($C$1='Adj-Mixed'!$A$21,VLOOKUP(A46,'337'!$A$7:$AB$188,10,FALSE),IF($C$1='Adj-Mixed'!$A$20,VLOOKUP(A46,'337'!$A$7:$AB$188,19,FALSE),IF($C$1='Adj-Mixed'!$A$19,VLOOKUP(A46,'337'!$A$7:$AB$188,28,FALSE)))))</f>
        <v>1.5933768189515165</v>
      </c>
      <c r="F46" s="27">
        <f>IF(A46&gt;200,"",IF($C$1='Adj-Mixed'!$A$21,VLOOKUP(A46,'337'!$A$7:$AB$188,7,FALSE),IF($C$1='Adj-Mixed'!$A$20,VLOOKUP(A46,'337'!$A$7:$AB$188,16,FALSE),IF($C$1='Adj-Mixed'!$A$19,VLOOKUP(A46,'337'!$A$7:$AB$188,25,FALSE)))))</f>
        <v>1.1319401423674473</v>
      </c>
      <c r="G46" s="27">
        <f t="shared" si="8"/>
        <v>25.347761273954386</v>
      </c>
      <c r="H46" s="1"/>
      <c r="I46" s="136">
        <f t="shared" si="9"/>
        <v>26.598334463526566</v>
      </c>
      <c r="J46" s="26">
        <f>IF(A46&gt;200,"",(C46*'Adj-Mixed'!$C$6))</f>
        <v>783.13751583556461</v>
      </c>
      <c r="K46" s="27">
        <f>IF(A46&gt;200,"",D46*'Adj-Mixed'!$C$7)</f>
        <v>0.5571875072301804</v>
      </c>
      <c r="L46" s="1">
        <f t="shared" si="10"/>
        <v>1.7947279632507784</v>
      </c>
      <c r="M46" s="27">
        <f t="shared" si="11"/>
        <v>1.4055187987408371</v>
      </c>
      <c r="N46" s="122">
        <f t="shared" si="12"/>
        <v>31.474062667328667</v>
      </c>
    </row>
    <row r="47" spans="1:14" x14ac:dyDescent="0.25">
      <c r="A47" s="22">
        <f t="shared" si="4"/>
        <v>65</v>
      </c>
      <c r="B47" s="28">
        <f>IF(A47&gt;200,"",IF($C$1='Adj-Mixed'!$A$21,VLOOKUP(A47,'337'!$A$6:$AB$188,4,FALSE),IF($C$1='Adj-Mixed'!$A$20,VLOOKUP(A47,'337'!$A$6:$AB$188,13,FALSE),IF($C$1='Adj-Mixed'!$A$19,VLOOKUP(A47,'337'!$A$6:$AB$188,22,FALSE)))))</f>
        <v>25.342138974993631</v>
      </c>
      <c r="C47" s="26">
        <f t="shared" si="5"/>
        <v>719.61151341021787</v>
      </c>
      <c r="D47" s="27">
        <f t="shared" si="6"/>
        <v>0.61983744165813159</v>
      </c>
      <c r="E47" s="27">
        <f>IF(A47&gt;200,"",IF($C$1='Adj-Mixed'!$A$21,VLOOKUP(A47,'337'!$A$7:$AB$188,10,FALSE),IF($C$1='Adj-Mixed'!$A$20,VLOOKUP(A47,'337'!$A$7:$AB$188,19,FALSE),IF($C$1='Adj-Mixed'!$A$19,VLOOKUP(A47,'337'!$A$7:$AB$188,28,FALSE)))))</f>
        <v>1.6133262252194589</v>
      </c>
      <c r="F47" s="27">
        <f>IF(A47&gt;200,"",IF($C$1='Adj-Mixed'!$A$21,VLOOKUP(A47,'337'!$A$7:$AB$188,7,FALSE),IF($C$1='Adj-Mixed'!$A$20,VLOOKUP(A47,'337'!$A$7:$AB$188,16,FALSE),IF($C$1='Adj-Mixed'!$A$19,VLOOKUP(A47,'337'!$A$7:$AB$188,25,FALSE)))))</f>
        <v>1.1609681265545717</v>
      </c>
      <c r="G47" s="27">
        <f t="shared" si="8"/>
        <v>26.508729400508958</v>
      </c>
      <c r="H47" s="1"/>
      <c r="I47" s="136">
        <f t="shared" si="9"/>
        <v>27.391622975758104</v>
      </c>
      <c r="J47" s="26">
        <f>IF(A47&gt;200,"",(C47*'Adj-Mixed'!$C$6))</f>
        <v>793.28851223153617</v>
      </c>
      <c r="K47" s="27">
        <f>IF(A47&gt;200,"",D47*'Adj-Mixed'!$C$7)</f>
        <v>0.55029766698869731</v>
      </c>
      <c r="L47" s="1">
        <f t="shared" si="10"/>
        <v>1.8171983273564183</v>
      </c>
      <c r="M47" s="27">
        <f t="shared" si="11"/>
        <v>1.4415625575382092</v>
      </c>
      <c r="N47" s="122">
        <f t="shared" si="12"/>
        <v>32.915625224866879</v>
      </c>
    </row>
    <row r="48" spans="1:14" x14ac:dyDescent="0.25">
      <c r="A48" s="22">
        <f t="shared" si="4"/>
        <v>66</v>
      </c>
      <c r="B48" s="28">
        <f>IF(A48&gt;200,"",IF($C$1='Adj-Mixed'!$A$21,VLOOKUP(A48,'337'!$A$6:$AB$188,4,FALSE),IF($C$1='Adj-Mixed'!$A$20,VLOOKUP(A48,'337'!$A$6:$AB$188,13,FALSE),IF($C$1='Adj-Mixed'!$A$19,VLOOKUP(A48,'337'!$A$6:$AB$188,22,FALSE)))))</f>
        <v>26.070819443687867</v>
      </c>
      <c r="C48" s="26">
        <f t="shared" si="5"/>
        <v>728.68046869423608</v>
      </c>
      <c r="D48" s="27">
        <f t="shared" si="6"/>
        <v>0.61231278302905834</v>
      </c>
      <c r="E48" s="27">
        <f>IF(A48&gt;200,"",IF($C$1='Adj-Mixed'!$A$21,VLOOKUP(A48,'337'!$A$7:$AB$188,10,FALSE),IF($C$1='Adj-Mixed'!$A$20,VLOOKUP(A48,'337'!$A$7:$AB$188,19,FALSE),IF($C$1='Adj-Mixed'!$A$19,VLOOKUP(A48,'337'!$A$7:$AB$188,28,FALSE)))))</f>
        <v>1.6331522511306829</v>
      </c>
      <c r="F48" s="27">
        <f>IF(A48&gt;200,"",IF($C$1='Adj-Mixed'!$A$21,VLOOKUP(A48,'337'!$A$7:$AB$188,7,FALSE),IF($C$1='Adj-Mixed'!$A$20,VLOOKUP(A48,'337'!$A$7:$AB$188,16,FALSE),IF($C$1='Adj-Mixed'!$A$19,VLOOKUP(A48,'337'!$A$7:$AB$188,25,FALSE)))))</f>
        <v>1.1900461478029498</v>
      </c>
      <c r="G48" s="27">
        <f t="shared" si="8"/>
        <v>27.698775548311907</v>
      </c>
      <c r="H48" s="1"/>
      <c r="I48" s="136">
        <f t="shared" si="9"/>
        <v>28.194908962891979</v>
      </c>
      <c r="J48" s="26">
        <f>IF(A48&gt;200,"",(C48*'Adj-Mixed'!$C$6))</f>
        <v>803.28598713387566</v>
      </c>
      <c r="K48" s="27">
        <f>IF(A48&gt;200,"",D48*'Adj-Mixed'!$C$7)</f>
        <v>0.5436172023859327</v>
      </c>
      <c r="L48" s="1">
        <f t="shared" si="10"/>
        <v>1.8395297198304357</v>
      </c>
      <c r="M48" s="27">
        <f t="shared" si="11"/>
        <v>1.4776684468560932</v>
      </c>
      <c r="N48" s="122">
        <f t="shared" si="12"/>
        <v>34.393293671722972</v>
      </c>
    </row>
    <row r="49" spans="1:14" x14ac:dyDescent="0.25">
      <c r="A49" s="22">
        <f t="shared" si="4"/>
        <v>67</v>
      </c>
      <c r="B49" s="28">
        <f>IF(A49&gt;200,"",IF($C$1='Adj-Mixed'!$A$21,VLOOKUP(A49,'337'!$A$6:$AB$188,4,FALSE),IF($C$1='Adj-Mixed'!$A$20,VLOOKUP(A49,'337'!$A$6:$AB$188,13,FALSE),IF($C$1='Adj-Mixed'!$A$19,VLOOKUP(A49,'337'!$A$6:$AB$188,22,FALSE)))))</f>
        <v>26.808427826571503</v>
      </c>
      <c r="C49" s="26">
        <f t="shared" si="5"/>
        <v>737.60838288363573</v>
      </c>
      <c r="D49" s="27">
        <f t="shared" si="6"/>
        <v>0.605016524900859</v>
      </c>
      <c r="E49" s="27">
        <f>IF(A49&gt;200,"",IF($C$1='Adj-Mixed'!$A$21,VLOOKUP(A49,'337'!$A$7:$AB$188,10,FALSE),IF($C$1='Adj-Mixed'!$A$20,VLOOKUP(A49,'337'!$A$7:$AB$188,19,FALSE),IF($C$1='Adj-Mixed'!$A$19,VLOOKUP(A49,'337'!$A$7:$AB$188,28,FALSE)))))</f>
        <v>1.652847416298034</v>
      </c>
      <c r="F49" s="27">
        <f>IF(A49&gt;200,"",IF($C$1='Adj-Mixed'!$A$21,VLOOKUP(A49,'337'!$A$7:$AB$188,7,FALSE),IF($C$1='Adj-Mixed'!$A$20,VLOOKUP(A49,'337'!$A$7:$AB$188,16,FALSE),IF($C$1='Adj-Mixed'!$A$19,VLOOKUP(A49,'337'!$A$7:$AB$188,25,FALSE)))))</f>
        <v>1.2191541098889855</v>
      </c>
      <c r="G49" s="27">
        <f t="shared" si="8"/>
        <v>28.917929658200894</v>
      </c>
      <c r="H49" s="1"/>
      <c r="I49" s="136">
        <f t="shared" si="9"/>
        <v>29.008036943424592</v>
      </c>
      <c r="J49" s="26">
        <f>IF(A49&gt;200,"",(C49*'Adj-Mixed'!$C$6))</f>
        <v>813.12798053261417</v>
      </c>
      <c r="K49" s="27">
        <f>IF(A49&gt;200,"",D49*'Adj-Mixed'!$C$7)</f>
        <v>0.53713951395369697</v>
      </c>
      <c r="L49" s="1">
        <f t="shared" si="10"/>
        <v>1.8617137150073881</v>
      </c>
      <c r="M49" s="27">
        <f t="shared" si="11"/>
        <v>1.5138115134138284</v>
      </c>
      <c r="N49" s="122">
        <f t="shared" si="12"/>
        <v>35.9071051851368</v>
      </c>
    </row>
    <row r="50" spans="1:14" x14ac:dyDescent="0.25">
      <c r="A50" s="22">
        <f t="shared" si="4"/>
        <v>68</v>
      </c>
      <c r="B50" s="28">
        <f>IF(A50&gt;200,"",IF($C$1='Adj-Mixed'!$A$21,VLOOKUP(A50,'337'!$A$6:$AB$188,4,FALSE),IF($C$1='Adj-Mixed'!$A$20,VLOOKUP(A50,'337'!$A$6:$AB$188,13,FALSE),IF($C$1='Adj-Mixed'!$A$19,VLOOKUP(A50,'337'!$A$6:$AB$188,22,FALSE)))))</f>
        <v>27.554821397858962</v>
      </c>
      <c r="C50" s="26">
        <f t="shared" si="5"/>
        <v>746.39357128745939</v>
      </c>
      <c r="D50" s="27">
        <f t="shared" si="6"/>
        <v>0.59794140375341454</v>
      </c>
      <c r="E50" s="27">
        <f>IF(A50&gt;200,"",IF($C$1='Adj-Mixed'!$A$21,VLOOKUP(A50,'337'!$A$7:$AB$188,10,FALSE),IF($C$1='Adj-Mixed'!$A$20,VLOOKUP(A50,'337'!$A$7:$AB$188,19,FALSE),IF($C$1='Adj-Mixed'!$A$19,VLOOKUP(A50,'337'!$A$7:$AB$188,28,FALSE)))))</f>
        <v>1.6724046766502068</v>
      </c>
      <c r="F50" s="27">
        <f>IF(A50&gt;200,"",IF($C$1='Adj-Mixed'!$A$21,VLOOKUP(A50,'337'!$A$7:$AB$188,7,FALSE),IF($C$1='Adj-Mixed'!$A$20,VLOOKUP(A50,'337'!$A$7:$AB$188,16,FALSE),IF($C$1='Adj-Mixed'!$A$19,VLOOKUP(A50,'337'!$A$7:$AB$188,25,FALSE)))))</f>
        <v>1.2482720992427996</v>
      </c>
      <c r="G50" s="27">
        <f t="shared" si="8"/>
        <v>30.166201757443694</v>
      </c>
      <c r="H50" s="1"/>
      <c r="I50" s="136">
        <f t="shared" si="9"/>
        <v>29.830849578675302</v>
      </c>
      <c r="J50" s="26">
        <f>IF(A50&gt;200,"",(C50*'Adj-Mixed'!$C$6))</f>
        <v>822.81263525070824</v>
      </c>
      <c r="K50" s="27">
        <f>IF(A50&gt;200,"",D50*'Adj-Mixed'!$C$7)</f>
        <v>0.5308581530686789</v>
      </c>
      <c r="L50" s="1">
        <f t="shared" si="10"/>
        <v>1.8837423786738501</v>
      </c>
      <c r="M50" s="27">
        <f t="shared" si="11"/>
        <v>1.5499670307300681</v>
      </c>
      <c r="N50" s="122">
        <f t="shared" si="12"/>
        <v>37.457072215866866</v>
      </c>
    </row>
    <row r="51" spans="1:14" x14ac:dyDescent="0.25">
      <c r="A51" s="22">
        <f t="shared" si="4"/>
        <v>69</v>
      </c>
      <c r="B51" s="28">
        <f>IF(A51&gt;200,"",IF($C$1='Adj-Mixed'!$A$21,VLOOKUP(A51,'337'!$A$6:$AB$188,4,FALSE),IF($C$1='Adj-Mixed'!$A$20,VLOOKUP(A51,'337'!$A$6:$AB$188,13,FALSE),IF($C$1='Adj-Mixed'!$A$19,VLOOKUP(A51,'337'!$A$6:$AB$188,22,FALSE)))))</f>
        <v>28.309855839989758</v>
      </c>
      <c r="C51" s="26">
        <f t="shared" si="5"/>
        <v>755.03444213079615</v>
      </c>
      <c r="D51" s="27">
        <f t="shared" si="6"/>
        <v>0.59108032928194298</v>
      </c>
      <c r="E51" s="27">
        <f>IF(A51&gt;200,"",IF($C$1='Adj-Mixed'!$A$21,VLOOKUP(A51,'337'!$A$7:$AB$188,10,FALSE),IF($C$1='Adj-Mixed'!$A$20,VLOOKUP(A51,'337'!$A$7:$AB$188,19,FALSE),IF($C$1='Adj-Mixed'!$A$19,VLOOKUP(A51,'337'!$A$7:$AB$188,28,FALSE)))))</f>
        <v>1.6918174238936718</v>
      </c>
      <c r="F51" s="27">
        <f>IF(A51&gt;200,"",IF($C$1='Adj-Mixed'!$A$21,VLOOKUP(A51,'337'!$A$7:$AB$188,7,FALSE),IF($C$1='Adj-Mixed'!$A$20,VLOOKUP(A51,'337'!$A$7:$AB$188,16,FALSE),IF($C$1='Adj-Mixed'!$A$19,VLOOKUP(A51,'337'!$A$7:$AB$188,25,FALSE)))))</f>
        <v>1.2773804248367193</v>
      </c>
      <c r="G51" s="27">
        <f t="shared" si="8"/>
        <v>31.443582182280412</v>
      </c>
      <c r="H51" s="1"/>
      <c r="I51" s="136">
        <f t="shared" si="9"/>
        <v>30.663187775215619</v>
      </c>
      <c r="J51" s="26">
        <f>IF(A51&gt;200,"",(C51*'Adj-Mixed'!$C$6))</f>
        <v>832.3381965403147</v>
      </c>
      <c r="K51" s="27">
        <f>IF(A51&gt;200,"",D51*'Adj-Mixed'!$C$7)</f>
        <v>0.52476682488981596</v>
      </c>
      <c r="L51" s="1">
        <f t="shared" si="10"/>
        <v>1.9056082674623489</v>
      </c>
      <c r="M51" s="27">
        <f t="shared" si="11"/>
        <v>1.5861105486519251</v>
      </c>
      <c r="N51" s="122">
        <f t="shared" si="12"/>
        <v>39.043182764518789</v>
      </c>
    </row>
    <row r="52" spans="1:14" x14ac:dyDescent="0.25">
      <c r="A52" s="22">
        <f t="shared" si="4"/>
        <v>70</v>
      </c>
      <c r="B52" s="28">
        <f>IF(A52&gt;200,"",IF($C$1='Adj-Mixed'!$A$21,VLOOKUP(A52,'337'!$A$6:$AB$188,4,FALSE),IF($C$1='Adj-Mixed'!$A$20,VLOOKUP(A52,'337'!$A$6:$AB$188,13,FALSE),IF($C$1='Adj-Mixed'!$A$19,VLOOKUP(A52,'337'!$A$6:$AB$188,22,FALSE)))))</f>
        <v>29.073385336120136</v>
      </c>
      <c r="C52" s="26">
        <f t="shared" si="5"/>
        <v>763.52949613037777</v>
      </c>
      <c r="D52" s="27">
        <f t="shared" si="6"/>
        <v>0.58442638626188548</v>
      </c>
      <c r="E52" s="27">
        <f>IF(A52&gt;200,"",IF($C$1='Adj-Mixed'!$A$21,VLOOKUP(A52,'337'!$A$7:$AB$188,10,FALSE),IF($C$1='Adj-Mixed'!$A$20,VLOOKUP(A52,'337'!$A$7:$AB$188,19,FALSE),IF($C$1='Adj-Mixed'!$A$19,VLOOKUP(A52,'337'!$A$7:$AB$188,28,FALSE)))))</f>
        <v>1.7110794849565418</v>
      </c>
      <c r="F52" s="27">
        <f>IF(A52&gt;200,"",IF($C$1='Adj-Mixed'!$A$21,VLOOKUP(A52,'337'!$A$7:$AB$188,7,FALSE),IF($C$1='Adj-Mixed'!$A$20,VLOOKUP(A52,'337'!$A$7:$AB$188,16,FALSE),IF($C$1='Adj-Mixed'!$A$19,VLOOKUP(A52,'337'!$A$7:$AB$188,25,FALSE)))))</f>
        <v>1.3064596569878948</v>
      </c>
      <c r="G52" s="27">
        <f t="shared" si="8"/>
        <v>32.750041839268306</v>
      </c>
      <c r="H52" s="1"/>
      <c r="I52" s="136">
        <f t="shared" si="9"/>
        <v>31.504890786830554</v>
      </c>
      <c r="J52" s="26">
        <f>IF(A52&gt;200,"",(C52*'Adj-Mixed'!$C$6))</f>
        <v>841.70301161493535</v>
      </c>
      <c r="K52" s="27">
        <f>IF(A52&gt;200,"",D52*'Adj-Mixed'!$C$7)</f>
        <v>0.51885939001395864</v>
      </c>
      <c r="L52" s="1">
        <f t="shared" si="10"/>
        <v>1.9273044282249521</v>
      </c>
      <c r="M52" s="27">
        <f t="shared" si="11"/>
        <v>1.6222179415357432</v>
      </c>
      <c r="N52" s="122">
        <f t="shared" si="12"/>
        <v>40.665400706054534</v>
      </c>
    </row>
    <row r="53" spans="1:14" x14ac:dyDescent="0.25">
      <c r="A53" s="22">
        <f t="shared" si="4"/>
        <v>71</v>
      </c>
      <c r="B53" s="28">
        <f>IF(A53&gt;200,"",IF($C$1='Adj-Mixed'!$A$21,VLOOKUP(A53,'337'!$A$6:$AB$188,4,FALSE),IF($C$1='Adj-Mixed'!$A$20,VLOOKUP(A53,'337'!$A$6:$AB$188,13,FALSE),IF($C$1='Adj-Mixed'!$A$19,VLOOKUP(A53,'337'!$A$6:$AB$188,22,FALSE)))))</f>
        <v>29.84526266213102</v>
      </c>
      <c r="C53" s="26">
        <f t="shared" si="5"/>
        <v>771.87732601088396</v>
      </c>
      <c r="D53" s="27">
        <f t="shared" si="6"/>
        <v>0.57797283521640408</v>
      </c>
      <c r="E53" s="27">
        <f>IF(A53&gt;200,"",IF($C$1='Adj-Mixed'!$A$21,VLOOKUP(A53,'337'!$A$7:$AB$188,10,FALSE),IF($C$1='Adj-Mixed'!$A$20,VLOOKUP(A53,'337'!$A$7:$AB$188,19,FALSE),IF($C$1='Adj-Mixed'!$A$19,VLOOKUP(A53,'337'!$A$7:$AB$188,28,FALSE)))))</f>
        <v>1.7301851212878905</v>
      </c>
      <c r="F53" s="27">
        <f>IF(A53&gt;200,"",IF($C$1='Adj-Mixed'!$A$21,VLOOKUP(A53,'337'!$A$7:$AB$188,7,FALSE),IF($C$1='Adj-Mixed'!$A$20,VLOOKUP(A53,'337'!$A$7:$AB$188,16,FALSE),IF($C$1='Adj-Mixed'!$A$19,VLOOKUP(A53,'337'!$A$7:$AB$188,25,FALSE)))))</f>
        <v>1.335490664923511</v>
      </c>
      <c r="G53" s="27">
        <f t="shared" si="8"/>
        <v>34.085532504191818</v>
      </c>
      <c r="H53" s="1"/>
      <c r="I53" s="136">
        <f t="shared" si="9"/>
        <v>32.355796315946755</v>
      </c>
      <c r="J53" s="26">
        <f>IF(A53&gt;200,"",(C53*'Adj-Mixed'!$C$6))</f>
        <v>850.90552911619955</v>
      </c>
      <c r="K53" s="27">
        <f>IF(A53&gt;200,"",D53*'Adj-Mixed'!$C$7)</f>
        <v>0.51312986506848168</v>
      </c>
      <c r="L53" s="1">
        <f t="shared" si="10"/>
        <v>1.9488243972440411</v>
      </c>
      <c r="M53" s="27">
        <f t="shared" si="11"/>
        <v>1.6582654548914995</v>
      </c>
      <c r="N53" s="122">
        <f t="shared" si="12"/>
        <v>42.323666160946033</v>
      </c>
    </row>
    <row r="54" spans="1:14" x14ac:dyDescent="0.25">
      <c r="A54" s="22">
        <f t="shared" si="4"/>
        <v>72</v>
      </c>
      <c r="B54" s="28">
        <f>IF(A54&gt;200,"",IF($C$1='Adj-Mixed'!$A$21,VLOOKUP(A54,'337'!$A$6:$AB$188,4,FALSE),IF($C$1='Adj-Mixed'!$A$20,VLOOKUP(A54,'337'!$A$6:$AB$188,13,FALSE),IF($C$1='Adj-Mixed'!$A$19,VLOOKUP(A54,'337'!$A$6:$AB$188,22,FALSE)))))</f>
        <v>30.625339278092934</v>
      </c>
      <c r="C54" s="26">
        <f t="shared" si="5"/>
        <v>780.07661596191372</v>
      </c>
      <c r="D54" s="27">
        <f t="shared" si="6"/>
        <v>0.57171311209680109</v>
      </c>
      <c r="E54" s="27">
        <f>IF(A54&gt;200,"",IF($C$1='Adj-Mixed'!$A$21,VLOOKUP(A54,'337'!$A$7:$AB$188,10,FALSE),IF($C$1='Adj-Mixed'!$A$20,VLOOKUP(A54,'337'!$A$7:$AB$188,19,FALSE),IF($C$1='Adj-Mixed'!$A$19,VLOOKUP(A54,'337'!$A$7:$AB$188,28,FALSE)))))</f>
        <v>1.749129027900767</v>
      </c>
      <c r="F54" s="27">
        <f>IF(A54&gt;200,"",IF($C$1='Adj-Mixed'!$A$21,VLOOKUP(A54,'337'!$A$7:$AB$188,7,FALSE),IF($C$1='Adj-Mixed'!$A$20,VLOOKUP(A54,'337'!$A$7:$AB$188,16,FALSE),IF($C$1='Adj-Mixed'!$A$19,VLOOKUP(A54,'337'!$A$7:$AB$188,25,FALSE)))))</f>
        <v>1.364454652965585</v>
      </c>
      <c r="G54" s="27">
        <f t="shared" si="8"/>
        <v>35.449987157157402</v>
      </c>
      <c r="H54" s="1"/>
      <c r="I54" s="136">
        <f t="shared" si="9"/>
        <v>33.215740614461993</v>
      </c>
      <c r="J54" s="26">
        <f>IF(A54&gt;200,"",(C54*'Adj-Mixed'!$C$6))</f>
        <v>859.94429851523716</v>
      </c>
      <c r="K54" s="27">
        <f>IF(A54&gt;200,"",D54*'Adj-Mixed'!$C$7)</f>
        <v>0.50757242242755674</v>
      </c>
      <c r="L54" s="1">
        <f t="shared" si="10"/>
        <v>1.9701621991543974</v>
      </c>
      <c r="M54" s="27">
        <f t="shared" si="11"/>
        <v>1.6942297503130652</v>
      </c>
      <c r="N54" s="122">
        <f t="shared" si="12"/>
        <v>44.017895911259096</v>
      </c>
    </row>
    <row r="55" spans="1:14" x14ac:dyDescent="0.25">
      <c r="A55" s="22">
        <f t="shared" si="4"/>
        <v>73</v>
      </c>
      <c r="B55" s="28">
        <f>IF(A55&gt;200,"",IF($C$1='Adj-Mixed'!$A$21,VLOOKUP(A55,'337'!$A$6:$AB$188,4,FALSE),IF($C$1='Adj-Mixed'!$A$20,VLOOKUP(A55,'337'!$A$6:$AB$188,13,FALSE),IF($C$1='Adj-Mixed'!$A$19,VLOOKUP(A55,'337'!$A$6:$AB$188,22,FALSE)))))</f>
        <v>31.413465419128517</v>
      </c>
      <c r="C55" s="26">
        <f t="shared" si="5"/>
        <v>788.12614103558326</v>
      </c>
      <c r="D55" s="27">
        <f t="shared" si="6"/>
        <v>0.56564082715417174</v>
      </c>
      <c r="E55" s="27">
        <f>IF(A55&gt;200,"",IF($C$1='Adj-Mixed'!$A$21,VLOOKUP(A55,'337'!$A$7:$AB$188,10,FALSE),IF($C$1='Adj-Mixed'!$A$20,VLOOKUP(A55,'337'!$A$7:$AB$188,19,FALSE),IF($C$1='Adj-Mixed'!$A$19,VLOOKUP(A55,'337'!$A$7:$AB$188,28,FALSE)))))</f>
        <v>1.7679063320643911</v>
      </c>
      <c r="F55" s="27">
        <f>IF(A55&gt;200,"",IF($C$1='Adj-Mixed'!$A$21,VLOOKUP(A55,'337'!$A$7:$AB$188,7,FALSE),IF($C$1='Adj-Mixed'!$A$20,VLOOKUP(A55,'337'!$A$7:$AB$188,16,FALSE),IF($C$1='Adj-Mixed'!$A$19,VLOOKUP(A55,'337'!$A$7:$AB$188,25,FALSE)))))</f>
        <v>1.3933331952022812</v>
      </c>
      <c r="G55" s="27">
        <f t="shared" si="8"/>
        <v>36.843320352359683</v>
      </c>
      <c r="H55" s="1"/>
      <c r="I55" s="136">
        <f t="shared" si="9"/>
        <v>34.084558583910592</v>
      </c>
      <c r="J55" s="26">
        <f>IF(A55&gt;200,"",(C55*'Adj-Mixed'!$C$6))</f>
        <v>868.81796944860037</v>
      </c>
      <c r="K55" s="27">
        <f>IF(A55&gt;200,"",D55*'Adj-Mixed'!$C$7)</f>
        <v>0.50218138921039501</v>
      </c>
      <c r="L55" s="1">
        <f t="shared" si="10"/>
        <v>1.9913123454701303</v>
      </c>
      <c r="M55" s="27">
        <f t="shared" si="11"/>
        <v>1.7300879485292882</v>
      </c>
      <c r="N55" s="122">
        <f t="shared" si="12"/>
        <v>45.747983859788384</v>
      </c>
    </row>
    <row r="56" spans="1:14" x14ac:dyDescent="0.25">
      <c r="A56" s="22">
        <f t="shared" si="4"/>
        <v>74</v>
      </c>
      <c r="B56" s="28">
        <f>IF(A56&gt;200,"",IF($C$1='Adj-Mixed'!$A$21,VLOOKUP(A56,'337'!$A$6:$AB$188,4,FALSE),IF($C$1='Adj-Mixed'!$A$20,VLOOKUP(A56,'337'!$A$6:$AB$188,13,FALSE),IF($C$1='Adj-Mixed'!$A$19,VLOOKUP(A56,'337'!$A$6:$AB$188,22,FALSE)))))</f>
        <v>32.209490185613397</v>
      </c>
      <c r="C56" s="26">
        <f t="shared" si="5"/>
        <v>796.02476648488005</v>
      </c>
      <c r="D56" s="27">
        <f t="shared" si="6"/>
        <v>0.5597497631539623</v>
      </c>
      <c r="E56" s="27">
        <f>IF(A56&gt;200,"",IF($C$1='Adj-Mixed'!$A$21,VLOOKUP(A56,'337'!$A$7:$AB$188,10,FALSE),IF($C$1='Adj-Mixed'!$A$20,VLOOKUP(A56,'337'!$A$7:$AB$188,19,FALSE),IF($C$1='Adj-Mixed'!$A$19,VLOOKUP(A56,'337'!$A$7:$AB$188,28,FALSE)))))</f>
        <v>1.7865125915648568</v>
      </c>
      <c r="F56" s="27">
        <f>IF(A56&gt;200,"",IF($C$1='Adj-Mixed'!$A$21,VLOOKUP(A56,'337'!$A$7:$AB$188,7,FALSE),IF($C$1='Adj-Mixed'!$A$20,VLOOKUP(A56,'337'!$A$7:$AB$188,16,FALSE),IF($C$1='Adj-Mixed'!$A$19,VLOOKUP(A56,'337'!$A$7:$AB$188,25,FALSE)))))</f>
        <v>1.4221082685227131</v>
      </c>
      <c r="G56" s="27">
        <f t="shared" si="8"/>
        <v>38.265428620882396</v>
      </c>
      <c r="H56" s="1"/>
      <c r="I56" s="136">
        <f t="shared" si="9"/>
        <v>34.96208387489947</v>
      </c>
      <c r="J56" s="26">
        <f>IF(A56&gt;200,"",(C56*'Adj-Mixed'!$C$6))</f>
        <v>877.52529098887544</v>
      </c>
      <c r="K56" s="27">
        <f>IF(A56&gt;200,"",D56*'Adj-Mixed'!$C$7)</f>
        <v>0.49695124569611476</v>
      </c>
      <c r="L56" s="1">
        <f t="shared" si="10"/>
        <v>2.0122698326255914</v>
      </c>
      <c r="M56" s="27">
        <f t="shared" si="11"/>
        <v>1.7658176704229078</v>
      </c>
      <c r="N56" s="122">
        <f t="shared" si="12"/>
        <v>47.513801530211289</v>
      </c>
    </row>
    <row r="57" spans="1:14" x14ac:dyDescent="0.25">
      <c r="A57" s="22">
        <f t="shared" si="4"/>
        <v>75</v>
      </c>
      <c r="B57" s="28">
        <f>IF(A57&gt;200,"",IF($C$1='Adj-Mixed'!$A$21,VLOOKUP(A57,'337'!$A$6:$AB$188,4,FALSE),IF($C$1='Adj-Mixed'!$A$20,VLOOKUP(A57,'337'!$A$6:$AB$188,13,FALSE),IF($C$1='Adj-Mixed'!$A$19,VLOOKUP(A57,'337'!$A$6:$AB$188,22,FALSE)))))</f>
        <v>33.013261632656906</v>
      </c>
      <c r="C57" s="26">
        <f t="shared" si="5"/>
        <v>803.77144704350917</v>
      </c>
      <c r="D57" s="27">
        <f t="shared" si="6"/>
        <v>0.55403387306215124</v>
      </c>
      <c r="E57" s="27">
        <f>IF(A57&gt;200,"",IF($C$1='Adj-Mixed'!$A$21,VLOOKUP(A57,'337'!$A$7:$AB$188,10,FALSE),IF($C$1='Adj-Mixed'!$A$20,VLOOKUP(A57,'337'!$A$7:$AB$188,19,FALSE),IF($C$1='Adj-Mixed'!$A$19,VLOOKUP(A57,'337'!$A$7:$AB$188,28,FALSE)))))</f>
        <v>1.8049437924670366</v>
      </c>
      <c r="F57" s="27">
        <f>IF(A57&gt;200,"",IF($C$1='Adj-Mixed'!$A$21,VLOOKUP(A57,'337'!$A$7:$AB$188,7,FALSE),IF($C$1='Adj-Mixed'!$A$20,VLOOKUP(A57,'337'!$A$7:$AB$188,16,FALSE),IF($C$1='Adj-Mixed'!$A$19,VLOOKUP(A57,'337'!$A$7:$AB$188,25,FALSE)))))</f>
        <v>1.4507622839034293</v>
      </c>
      <c r="G57" s="27">
        <f t="shared" si="8"/>
        <v>39.716190904785826</v>
      </c>
      <c r="H57" s="1"/>
      <c r="I57" s="136">
        <f t="shared" si="9"/>
        <v>35.848148985750264</v>
      </c>
      <c r="J57" s="26">
        <f>IF(A57&gt;200,"",(C57*'Adj-Mixed'!$C$6))</f>
        <v>886.06511085079683</v>
      </c>
      <c r="K57" s="27">
        <f>IF(A57&gt;200,"",D57*'Adj-Mixed'!$C$7)</f>
        <v>0.49187662326951037</v>
      </c>
      <c r="L57" s="1">
        <f t="shared" si="10"/>
        <v>2.033030139454457</v>
      </c>
      <c r="M57" s="27">
        <f t="shared" si="11"/>
        <v>1.8013970758787243</v>
      </c>
      <c r="N57" s="122">
        <f t="shared" si="12"/>
        <v>49.315198606090014</v>
      </c>
    </row>
    <row r="58" spans="1:14" x14ac:dyDescent="0.25">
      <c r="A58" s="22">
        <f t="shared" si="4"/>
        <v>76</v>
      </c>
      <c r="B58" s="28">
        <f>IF(A58&gt;200,"",IF($C$1='Adj-Mixed'!$A$21,VLOOKUP(A58,'337'!$A$6:$AB$188,4,FALSE),IF($C$1='Adj-Mixed'!$A$20,VLOOKUP(A58,'337'!$A$6:$AB$188,13,FALSE),IF($C$1='Adj-Mixed'!$A$19,VLOOKUP(A58,'337'!$A$6:$AB$188,22,FALSE)))))</f>
        <v>33.824626858804301</v>
      </c>
      <c r="C58" s="26">
        <f t="shared" si="5"/>
        <v>811.36522614739442</v>
      </c>
      <c r="D58" s="27">
        <f t="shared" si="6"/>
        <v>0.54848727731180569</v>
      </c>
      <c r="E58" s="27">
        <f>IF(A58&gt;200,"",IF($C$1='Adj-Mixed'!$A$21,VLOOKUP(A58,'337'!$A$7:$AB$188,10,FALSE),IF($C$1='Adj-Mixed'!$A$20,VLOOKUP(A58,'337'!$A$7:$AB$188,19,FALSE),IF($C$1='Adj-Mixed'!$A$19,VLOOKUP(A58,'337'!$A$7:$AB$188,28,FALSE)))))</f>
        <v>1.8231963463238492</v>
      </c>
      <c r="F58" s="27">
        <f>IF(A58&gt;200,"",IF($C$1='Adj-Mixed'!$A$21,VLOOKUP(A58,'337'!$A$7:$AB$188,7,FALSE),IF($C$1='Adj-Mixed'!$A$20,VLOOKUP(A58,'337'!$A$7:$AB$188,16,FALSE),IF($C$1='Adj-Mixed'!$A$19,VLOOKUP(A58,'337'!$A$7:$AB$188,25,FALSE)))))</f>
        <v>1.4792781158461534</v>
      </c>
      <c r="G58" s="27">
        <f t="shared" si="8"/>
        <v>41.195469020631982</v>
      </c>
      <c r="H58" s="1"/>
      <c r="I58" s="136">
        <f t="shared" si="9"/>
        <v>36.742585360283307</v>
      </c>
      <c r="J58" s="26">
        <f>IF(A58&gt;200,"",(C58*'Adj-Mixed'!$C$6))</f>
        <v>894.43637453304143</v>
      </c>
      <c r="K58" s="27">
        <f>IF(A58&gt;200,"",D58*'Adj-Mixed'!$C$7)</f>
        <v>0.48695230199427508</v>
      </c>
      <c r="L58" s="1">
        <f t="shared" si="10"/>
        <v>2.0535892240463349</v>
      </c>
      <c r="M58" s="27">
        <f t="shared" si="11"/>
        <v>1.8368049003361258</v>
      </c>
      <c r="N58" s="122">
        <f t="shared" si="12"/>
        <v>51.152003506426141</v>
      </c>
    </row>
    <row r="59" spans="1:14" x14ac:dyDescent="0.25">
      <c r="A59" s="22">
        <f t="shared" si="4"/>
        <v>77</v>
      </c>
      <c r="B59" s="28">
        <f>IF(A59&gt;200,"",IF($C$1='Adj-Mixed'!$A$21,VLOOKUP(A59,'337'!$A$6:$AB$188,4,FALSE),IF($C$1='Adj-Mixed'!$A$20,VLOOKUP(A59,'337'!$A$6:$AB$188,13,FALSE),IF($C$1='Adj-Mixed'!$A$19,VLOOKUP(A59,'337'!$A$6:$AB$188,22,FALSE)))))</f>
        <v>34.64343209390357</v>
      </c>
      <c r="C59" s="26">
        <f t="shared" si="5"/>
        <v>818.80523509926911</v>
      </c>
      <c r="D59" s="27">
        <f t="shared" si="6"/>
        <v>0.54310426074263352</v>
      </c>
      <c r="E59" s="27">
        <f>IF(A59&gt;200,"",IF($C$1='Adj-Mixed'!$A$21,VLOOKUP(A59,'337'!$A$7:$AB$188,10,FALSE),IF($C$1='Adj-Mixed'!$A$20,VLOOKUP(A59,'337'!$A$7:$AB$188,19,FALSE),IF($C$1='Adj-Mixed'!$A$19,VLOOKUP(A59,'337'!$A$7:$AB$188,28,FALSE)))))</f>
        <v>1.8412670867884802</v>
      </c>
      <c r="F59" s="27">
        <f>IF(A59&gt;200,"",IF($C$1='Adj-Mixed'!$A$21,VLOOKUP(A59,'337'!$A$7:$AB$188,7,FALSE),IF($C$1='Adj-Mixed'!$A$20,VLOOKUP(A59,'337'!$A$7:$AB$188,16,FALSE),IF($C$1='Adj-Mixed'!$A$19,VLOOKUP(A59,'337'!$A$7:$AB$188,25,FALSE)))))</f>
        <v>1.5076391298783816</v>
      </c>
      <c r="G59" s="27">
        <f t="shared" si="8"/>
        <v>42.703108150510367</v>
      </c>
      <c r="H59" s="1"/>
      <c r="I59" s="136">
        <f t="shared" si="9"/>
        <v>37.645223484680592</v>
      </c>
      <c r="J59" s="26">
        <f>IF(A59&gt;200,"",(C59*'Adj-Mixed'!$C$6))</f>
        <v>902.63812439728736</v>
      </c>
      <c r="K59" s="27">
        <f>IF(A59&gt;200,"",D59*'Adj-Mixed'!$C$7)</f>
        <v>0.48217320789590534</v>
      </c>
      <c r="L59" s="1">
        <f t="shared" si="10"/>
        <v>2.0739435199308844</v>
      </c>
      <c r="M59" s="27">
        <f t="shared" si="11"/>
        <v>1.8720204889363217</v>
      </c>
      <c r="N59" s="122">
        <f t="shared" si="12"/>
        <v>53.024023995362462</v>
      </c>
    </row>
    <row r="60" spans="1:14" x14ac:dyDescent="0.25">
      <c r="A60" s="22">
        <f t="shared" si="4"/>
        <v>78</v>
      </c>
      <c r="B60" s="28">
        <f>IF(A60&gt;200,"",IF($C$1='Adj-Mixed'!$A$21,VLOOKUP(A60,'337'!$A$6:$AB$188,4,FALSE),IF($C$1='Adj-Mixed'!$A$20,VLOOKUP(A60,'337'!$A$6:$AB$188,13,FALSE),IF($C$1='Adj-Mixed'!$A$19,VLOOKUP(A60,'337'!$A$6:$AB$188,22,FALSE)))))</f>
        <v>35.469522786080304</v>
      </c>
      <c r="C60" s="26">
        <f t="shared" si="5"/>
        <v>826.09069217673436</v>
      </c>
      <c r="D60" s="27">
        <f t="shared" si="6"/>
        <v>0.53787926929102925</v>
      </c>
      <c r="E60" s="27">
        <f>IF(A60&gt;200,"",IF($C$1='Adj-Mixed'!$A$21,VLOOKUP(A60,'337'!$A$7:$AB$188,10,FALSE),IF($C$1='Adj-Mixed'!$A$20,VLOOKUP(A60,'337'!$A$7:$AB$188,19,FALSE),IF($C$1='Adj-Mixed'!$A$19,VLOOKUP(A60,'337'!$A$7:$AB$188,28,FALSE)))))</f>
        <v>1.8591532655982173</v>
      </c>
      <c r="F60" s="27">
        <f>IF(A60&gt;200,"",IF($C$1='Adj-Mixed'!$A$21,VLOOKUP(A60,'337'!$A$7:$AB$188,7,FALSE),IF($C$1='Adj-Mixed'!$A$20,VLOOKUP(A60,'337'!$A$7:$AB$188,16,FALSE),IF($C$1='Adj-Mixed'!$A$19,VLOOKUP(A60,'337'!$A$7:$AB$188,25,FALSE)))))</f>
        <v>1.5358292080406675</v>
      </c>
      <c r="G60" s="27">
        <f t="shared" si="8"/>
        <v>44.238937358551034</v>
      </c>
      <c r="H60" s="1"/>
      <c r="I60" s="136">
        <f t="shared" si="9"/>
        <v>38.555892983365545</v>
      </c>
      <c r="J60" s="26">
        <f>IF(A60&gt;200,"",(C60*'Adj-Mixed'!$C$6))</f>
        <v>910.66949868495033</v>
      </c>
      <c r="K60" s="27">
        <f>IF(A60&gt;200,"",D60*'Adj-Mixed'!$C$7)</f>
        <v>0.47753441002309216</v>
      </c>
      <c r="L60" s="1">
        <f t="shared" si="10"/>
        <v>2.0940899315541324</v>
      </c>
      <c r="M60" s="27">
        <f t="shared" si="11"/>
        <v>1.9070238281696035</v>
      </c>
      <c r="N60" s="122">
        <f t="shared" si="12"/>
        <v>54.931047823532069</v>
      </c>
    </row>
    <row r="61" spans="1:14" x14ac:dyDescent="0.25">
      <c r="A61" s="22">
        <f t="shared" si="4"/>
        <v>79</v>
      </c>
      <c r="B61" s="28">
        <f>IF(A61&gt;200,"",IF($C$1='Adj-Mixed'!$A$21,VLOOKUP(A61,'337'!$A$6:$AB$188,4,FALSE),IF($C$1='Adj-Mixed'!$A$20,VLOOKUP(A61,'337'!$A$6:$AB$188,13,FALSE),IF($C$1='Adj-Mixed'!$A$19,VLOOKUP(A61,'337'!$A$6:$AB$188,22,FALSE)))))</f>
        <v>36.30274368776584</v>
      </c>
      <c r="C61" s="26">
        <f t="shared" si="5"/>
        <v>833.22090168553586</v>
      </c>
      <c r="D61" s="27">
        <f t="shared" si="6"/>
        <v>0.53280690649661633</v>
      </c>
      <c r="E61" s="27">
        <f>IF(A61&gt;200,"",IF($C$1='Adj-Mixed'!$A$21,VLOOKUP(A61,'337'!$A$7:$AB$188,10,FALSE),IF($C$1='Adj-Mixed'!$A$20,VLOOKUP(A61,'337'!$A$7:$AB$188,19,FALSE),IF($C$1='Adj-Mixed'!$A$19,VLOOKUP(A61,'337'!$A$7:$AB$188,28,FALSE)))))</f>
        <v>1.8768525479058344</v>
      </c>
      <c r="F61" s="27">
        <f>IF(A61&gt;200,"",IF($C$1='Adj-Mixed'!$A$21,VLOOKUP(A61,'337'!$A$7:$AB$188,7,FALSE),IF($C$1='Adj-Mixed'!$A$20,VLOOKUP(A61,'337'!$A$7:$AB$188,16,FALSE),IF($C$1='Adj-Mixed'!$A$19,VLOOKUP(A61,'337'!$A$7:$AB$188,25,FALSE)))))</f>
        <v>1.5638327722968948</v>
      </c>
      <c r="G61" s="27">
        <f t="shared" si="8"/>
        <v>45.802770130847932</v>
      </c>
      <c r="H61" s="1"/>
      <c r="I61" s="136">
        <f t="shared" si="9"/>
        <v>39.474422713839076</v>
      </c>
      <c r="J61" s="26">
        <f>IF(A61&gt;200,"",(C61*'Adj-Mixed'!$C$6))</f>
        <v>918.52973047353191</v>
      </c>
      <c r="K61" s="27">
        <f>IF(A61&gt;200,"",D61*'Adj-Mixed'!$C$7)</f>
        <v>0.47303111734619507</v>
      </c>
      <c r="L61" s="1">
        <f t="shared" si="10"/>
        <v>2.1140258290199005</v>
      </c>
      <c r="M61" s="27">
        <f t="shared" si="11"/>
        <v>1.9417955749437343</v>
      </c>
      <c r="N61" s="122">
        <f t="shared" si="12"/>
        <v>56.872843398475801</v>
      </c>
    </row>
    <row r="62" spans="1:14" x14ac:dyDescent="0.25">
      <c r="A62" s="22">
        <f t="shared" si="4"/>
        <v>80</v>
      </c>
      <c r="B62" s="28">
        <f>IF(A62&gt;200,"",IF($C$1='Adj-Mixed'!$A$21,VLOOKUP(A62,'337'!$A$6:$AB$188,4,FALSE),IF($C$1='Adj-Mixed'!$A$20,VLOOKUP(A62,'337'!$A$6:$AB$188,13,FALSE),IF($C$1='Adj-Mixed'!$A$19,VLOOKUP(A62,'337'!$A$6:$AB$188,22,FALSE)))))</f>
        <v>37.142938940724704</v>
      </c>
      <c r="C62" s="26">
        <f t="shared" si="5"/>
        <v>840.1952529588641</v>
      </c>
      <c r="D62" s="27">
        <f t="shared" si="6"/>
        <v>0.52788192988016081</v>
      </c>
      <c r="E62" s="27">
        <f>IF(A62&gt;200,"",IF($C$1='Adj-Mixed'!$A$21,VLOOKUP(A62,'337'!$A$7:$AB$188,10,FALSE),IF($C$1='Adj-Mixed'!$A$20,VLOOKUP(A62,'337'!$A$7:$AB$188,19,FALSE),IF($C$1='Adj-Mixed'!$A$19,VLOOKUP(A62,'337'!$A$7:$AB$188,28,FALSE)))))</f>
        <v>1.8943630069455475</v>
      </c>
      <c r="F62" s="27">
        <f>IF(A62&gt;200,"",IF($C$1='Adj-Mixed'!$A$21,VLOOKUP(A62,'337'!$A$7:$AB$188,7,FALSE),IF($C$1='Adj-Mixed'!$A$20,VLOOKUP(A62,'337'!$A$7:$AB$188,16,FALSE),IF($C$1='Adj-Mixed'!$A$19,VLOOKUP(A62,'337'!$A$7:$AB$188,25,FALSE)))))</f>
        <v>1.5916348058165355</v>
      </c>
      <c r="G62" s="27">
        <f t="shared" si="8"/>
        <v>47.394404936664465</v>
      </c>
      <c r="H62" s="1"/>
      <c r="I62" s="136">
        <f t="shared" si="9"/>
        <v>40.400640860412537</v>
      </c>
      <c r="J62" s="26">
        <f>IF(A62&gt;200,"",(C62*'Adj-Mixed'!$C$6))</f>
        <v>926.21814657346272</v>
      </c>
      <c r="K62" s="27">
        <f>IF(A62&gt;200,"",D62*'Adj-Mixed'!$C$7)</f>
        <v>0.46865867554151919</v>
      </c>
      <c r="L62" s="1">
        <f t="shared" si="10"/>
        <v>2.1337490420817109</v>
      </c>
      <c r="M62" s="27">
        <f t="shared" si="11"/>
        <v>1.9763170830098238</v>
      </c>
      <c r="N62" s="122">
        <f t="shared" si="12"/>
        <v>58.849160481485626</v>
      </c>
    </row>
    <row r="63" spans="1:14" x14ac:dyDescent="0.25">
      <c r="A63" s="22">
        <f t="shared" si="4"/>
        <v>81</v>
      </c>
      <c r="B63" s="28">
        <f>IF(A63&gt;200,"",IF($C$1='Adj-Mixed'!$A$21,VLOOKUP(A63,'337'!$A$6:$AB$188,4,FALSE),IF($C$1='Adj-Mixed'!$A$20,VLOOKUP(A63,'337'!$A$6:$AB$188,13,FALSE),IF($C$1='Adj-Mixed'!$A$19,VLOOKUP(A63,'337'!$A$6:$AB$188,22,FALSE)))))</f>
        <v>37.989952160029148</v>
      </c>
      <c r="C63" s="26">
        <f t="shared" si="5"/>
        <v>847.01321930444351</v>
      </c>
      <c r="D63" s="27">
        <f t="shared" si="6"/>
        <v>0.52309924723919776</v>
      </c>
      <c r="E63" s="27">
        <f>IF(A63&gt;200,"",IF($C$1='Adj-Mixed'!$A$21,VLOOKUP(A63,'337'!$A$7:$AB$188,10,FALSE),IF($C$1='Adj-Mixed'!$A$20,VLOOKUP(A63,'337'!$A$7:$AB$188,19,FALSE),IF($C$1='Adj-Mixed'!$A$19,VLOOKUP(A63,'337'!$A$7:$AB$188,28,FALSE)))))</f>
        <v>1.9116831180273706</v>
      </c>
      <c r="F63" s="27">
        <f>IF(A63&gt;200,"",IF($C$1='Adj-Mixed'!$A$21,VLOOKUP(A63,'337'!$A$7:$AB$188,7,FALSE),IF($C$1='Adj-Mixed'!$A$20,VLOOKUP(A63,'337'!$A$7:$AB$188,16,FALSE),IF($C$1='Adj-Mixed'!$A$19,VLOOKUP(A63,'337'!$A$7:$AB$188,25,FALSE)))))</f>
        <v>1.6192208720903127</v>
      </c>
      <c r="G63" s="27">
        <f t="shared" si="8"/>
        <v>49.013625808754774</v>
      </c>
      <c r="H63" s="1"/>
      <c r="I63" s="136">
        <f t="shared" si="9"/>
        <v>41.334375026779924</v>
      </c>
      <c r="J63" s="26">
        <f>IF(A63&gt;200,"",(C63*'Adj-Mixed'!$C$6))</f>
        <v>933.73416636739034</v>
      </c>
      <c r="K63" s="27">
        <f>IF(A63&gt;200,"",D63*'Adj-Mixed'!$C$7)</f>
        <v>0.46441256370253653</v>
      </c>
      <c r="L63" s="1">
        <f t="shared" si="10"/>
        <v>2.153257853378221</v>
      </c>
      <c r="M63" s="27">
        <f t="shared" si="11"/>
        <v>2.0105704266981492</v>
      </c>
      <c r="N63" s="122">
        <f t="shared" si="12"/>
        <v>60.859730908183778</v>
      </c>
    </row>
    <row r="64" spans="1:14" x14ac:dyDescent="0.25">
      <c r="A64" s="22">
        <f t="shared" si="4"/>
        <v>82</v>
      </c>
      <c r="B64" s="28">
        <f>IF(A64&gt;200,"",IF($C$1='Adj-Mixed'!$A$21,VLOOKUP(A64,'337'!$A$6:$AB$188,4,FALSE),IF($C$1='Adj-Mixed'!$A$20,VLOOKUP(A64,'337'!$A$6:$AB$188,13,FALSE),IF($C$1='Adj-Mixed'!$A$19,VLOOKUP(A64,'337'!$A$6:$AB$188,22,FALSE)))))</f>
        <v>38.843626516929959</v>
      </c>
      <c r="C64" s="26">
        <f t="shared" si="5"/>
        <v>853.67435690081095</v>
      </c>
      <c r="D64" s="27">
        <f t="shared" si="6"/>
        <v>0.51845391289985943</v>
      </c>
      <c r="E64" s="27">
        <f>IF(A64&gt;200,"",IF($C$1='Adj-Mixed'!$A$21,VLOOKUP(A64,'337'!$A$7:$AB$188,10,FALSE),IF($C$1='Adj-Mixed'!$A$20,VLOOKUP(A64,'337'!$A$7:$AB$188,19,FALSE),IF($C$1='Adj-Mixed'!$A$19,VLOOKUP(A64,'337'!$A$7:$AB$188,28,FALSE)))))</f>
        <v>1.9288117518618328</v>
      </c>
      <c r="F64" s="27">
        <f>IF(A64&gt;200,"",IF($C$1='Adj-Mixed'!$A$21,VLOOKUP(A64,'337'!$A$7:$AB$188,7,FALSE),IF($C$1='Adj-Mixed'!$A$20,VLOOKUP(A64,'337'!$A$7:$AB$188,16,FALSE),IF($C$1='Adj-Mixed'!$A$19,VLOOKUP(A64,'337'!$A$7:$AB$188,25,FALSE)))))</f>
        <v>1.6465771318533904</v>
      </c>
      <c r="G64" s="27">
        <f t="shared" si="8"/>
        <v>50.660202940608166</v>
      </c>
      <c r="H64" s="1"/>
      <c r="I64" s="136">
        <f t="shared" si="9"/>
        <v>42.27545232737338</v>
      </c>
      <c r="J64" s="26">
        <f>IF(A64&gt;200,"",(C64*'Adj-Mixed'!$C$6))</f>
        <v>941.07730059345374</v>
      </c>
      <c r="K64" s="27">
        <f>IF(A64&gt;200,"",D64*'Adj-Mixed'!$C$7)</f>
        <v>0.46028839101222285</v>
      </c>
      <c r="L64" s="1">
        <f t="shared" si="10"/>
        <v>2.172550990914401</v>
      </c>
      <c r="M64" s="27">
        <f t="shared" si="11"/>
        <v>2.0445384219313576</v>
      </c>
      <c r="N64" s="122">
        <f t="shared" si="12"/>
        <v>62.904269330115135</v>
      </c>
    </row>
    <row r="65" spans="1:14" x14ac:dyDescent="0.25">
      <c r="A65" s="22">
        <f t="shared" si="4"/>
        <v>83</v>
      </c>
      <c r="B65" s="28">
        <f>IF(A65&gt;200,"",IF($C$1='Adj-Mixed'!$A$21,VLOOKUP(A65,'337'!$A$6:$AB$188,4,FALSE),IF($C$1='Adj-Mixed'!$A$20,VLOOKUP(A65,'337'!$A$6:$AB$188,13,FALSE),IF($C$1='Adj-Mixed'!$A$19,VLOOKUP(A65,'337'!$A$6:$AB$188,22,FALSE)))))</f>
        <v>39.70380482057454</v>
      </c>
      <c r="C65" s="26">
        <f t="shared" si="5"/>
        <v>860.17830364458086</v>
      </c>
      <c r="D65" s="27">
        <f t="shared" si="6"/>
        <v>0.51394112395678737</v>
      </c>
      <c r="E65" s="27">
        <f>IF(A65&gt;200,"",IF($C$1='Adj-Mixed'!$A$21,VLOOKUP(A65,'337'!$A$7:$AB$188,10,FALSE),IF($C$1='Adj-Mixed'!$A$20,VLOOKUP(A65,'337'!$A$7:$AB$188,19,FALSE),IF($C$1='Adj-Mixed'!$A$19,VLOOKUP(A65,'337'!$A$7:$AB$188,28,FALSE)))))</f>
        <v>1.9457481672240746</v>
      </c>
      <c r="F65" s="27">
        <f>IF(A65&gt;200,"",IF($C$1='Adj-Mixed'!$A$21,VLOOKUP(A65,'337'!$A$7:$AB$188,7,FALSE),IF($C$1='Adj-Mixed'!$A$20,VLOOKUP(A65,'337'!$A$7:$AB$188,16,FALSE),IF($C$1='Adj-Mixed'!$A$19,VLOOKUP(A65,'337'!$A$7:$AB$188,25,FALSE)))))</f>
        <v>1.6736903578023501</v>
      </c>
      <c r="G65" s="27">
        <f t="shared" si="8"/>
        <v>52.333893298410516</v>
      </c>
      <c r="H65" s="1"/>
      <c r="I65" s="136">
        <f t="shared" si="9"/>
        <v>43.223699477447909</v>
      </c>
      <c r="J65" s="26">
        <f>IF(A65&gt;200,"",(C65*'Adj-Mixed'!$C$6))</f>
        <v>948.24715007452664</v>
      </c>
      <c r="K65" s="27">
        <f>IF(A65&gt;200,"",D65*'Adj-Mixed'!$C$7)</f>
        <v>0.45628189340481529</v>
      </c>
      <c r="L65" s="1">
        <f t="shared" si="10"/>
        <v>2.1916276197986133</v>
      </c>
      <c r="M65" s="27">
        <f t="shared" si="11"/>
        <v>2.0782046444986535</v>
      </c>
      <c r="N65" s="122">
        <f t="shared" si="12"/>
        <v>64.982473974613782</v>
      </c>
    </row>
    <row r="66" spans="1:14" x14ac:dyDescent="0.25">
      <c r="A66" s="22">
        <f t="shared" si="4"/>
        <v>84</v>
      </c>
      <c r="B66" s="28">
        <f>IF(A66&gt;200,"",IF($C$1='Adj-Mixed'!$A$21,VLOOKUP(A66,'337'!$A$6:$AB$188,4,FALSE),IF($C$1='Adj-Mixed'!$A$20,VLOOKUP(A66,'337'!$A$6:$AB$188,13,FALSE),IF($C$1='Adj-Mixed'!$A$19,VLOOKUP(A66,'337'!$A$6:$AB$188,22,FALSE)))))</f>
        <v>40.570329598524694</v>
      </c>
      <c r="C66" s="26">
        <f t="shared" si="5"/>
        <v>866.5247779501542</v>
      </c>
      <c r="D66" s="27">
        <f t="shared" si="6"/>
        <v>0.50955621652752947</v>
      </c>
      <c r="E66" s="27">
        <f>IF(A66&gt;200,"",IF($C$1='Adj-Mixed'!$A$21,VLOOKUP(A66,'337'!$A$7:$AB$188,10,FALSE),IF($C$1='Adj-Mixed'!$A$20,VLOOKUP(A66,'337'!$A$7:$AB$188,19,FALSE),IF($C$1='Adj-Mixed'!$A$19,VLOOKUP(A66,'337'!$A$7:$AB$188,28,FALSE)))))</f>
        <v>1.9624920029721069</v>
      </c>
      <c r="F66" s="27">
        <f>IF(A66&gt;200,"",IF($C$1='Adj-Mixed'!$A$21,VLOOKUP(A66,'337'!$A$7:$AB$188,7,FALSE),IF($C$1='Adj-Mixed'!$A$20,VLOOKUP(A66,'337'!$A$7:$AB$188,16,FALSE),IF($C$1='Adj-Mixed'!$A$19,VLOOKUP(A66,'337'!$A$7:$AB$188,25,FALSE)))))</f>
        <v>1.6988614018022234</v>
      </c>
      <c r="G66" s="27">
        <f t="shared" si="8"/>
        <v>54.032754700212742</v>
      </c>
      <c r="H66" s="1"/>
      <c r="I66" s="136">
        <f t="shared" si="9"/>
        <v>44.178942881842943</v>
      </c>
      <c r="J66" s="26">
        <f>IF(A66&gt;200,"",(C66*'Adj-Mixed'!$C$6))</f>
        <v>955.24340439503521</v>
      </c>
      <c r="K66" s="27">
        <f>IF(A66&gt;200,"",D66*'Adj-Mixed'!$C$7)</f>
        <v>0.45238893024042981</v>
      </c>
      <c r="L66" s="1">
        <f t="shared" si="10"/>
        <v>2.210487333252237</v>
      </c>
      <c r="M66" s="27">
        <f t="shared" si="11"/>
        <v>2.1115534455879694</v>
      </c>
      <c r="N66" s="122">
        <f t="shared" si="12"/>
        <v>67.094027420201755</v>
      </c>
    </row>
    <row r="67" spans="1:14" x14ac:dyDescent="0.25">
      <c r="A67" s="22">
        <f t="shared" si="4"/>
        <v>85</v>
      </c>
      <c r="B67" s="28">
        <f>IF(A67&gt;200,"",IF($C$1='Adj-Mixed'!$A$21,VLOOKUP(A67,'337'!$A$6:$AB$188,4,FALSE),IF($C$1='Adj-Mixed'!$A$20,VLOOKUP(A67,'337'!$A$6:$AB$188,13,FALSE),IF($C$1='Adj-Mixed'!$A$19,VLOOKUP(A67,'337'!$A$6:$AB$188,22,FALSE)))))</f>
        <v>41.443043176028894</v>
      </c>
      <c r="C67" s="26">
        <f t="shared" si="5"/>
        <v>872.71357750420009</v>
      </c>
      <c r="D67" s="27">
        <f t="shared" si="6"/>
        <v>0.50529466204293638</v>
      </c>
      <c r="E67" s="27">
        <f>IF(A67&gt;200,"",IF($C$1='Adj-Mixed'!$A$21,VLOOKUP(A67,'337'!$A$7:$AB$188,10,FALSE),IF($C$1='Adj-Mixed'!$A$20,VLOOKUP(A67,'337'!$A$7:$AB$188,19,FALSE),IF($C$1='Adj-Mixed'!$A$19,VLOOKUP(A67,'337'!$A$7:$AB$188,28,FALSE)))))</f>
        <v>1.9790432694399354</v>
      </c>
      <c r="F67" s="27">
        <f>IF(A67&gt;200,"",IF($C$1='Adj-Mixed'!$A$21,VLOOKUP(A67,'337'!$A$7:$AB$188,7,FALSE),IF($C$1='Adj-Mixed'!$A$20,VLOOKUP(A67,'337'!$A$7:$AB$188,16,FALSE),IF($C$1='Adj-Mixed'!$A$19,VLOOKUP(A67,'337'!$A$7:$AB$188,25,FALSE)))))</f>
        <v>1.7271907253356433</v>
      </c>
      <c r="G67" s="27">
        <f t="shared" si="8"/>
        <v>55.759945425548388</v>
      </c>
      <c r="H67" s="1"/>
      <c r="I67" s="136">
        <f t="shared" si="9"/>
        <v>45.141008722370863</v>
      </c>
      <c r="J67" s="26">
        <f>IF(A67&gt;200,"",(C67*'Adj-Mixed'!$C$6))</f>
        <v>962.06584052791789</v>
      </c>
      <c r="K67" s="27">
        <f>IF(A67&gt;200,"",D67*'Adj-Mixed'!$C$7)</f>
        <v>0.44860548101163955</v>
      </c>
      <c r="L67" s="1">
        <f t="shared" si="10"/>
        <v>2.2291301429151598</v>
      </c>
      <c r="M67" s="27">
        <f t="shared" si="11"/>
        <v>2.1445699645897909</v>
      </c>
      <c r="N67" s="122">
        <f t="shared" si="12"/>
        <v>69.238597384791547</v>
      </c>
    </row>
    <row r="68" spans="1:14" x14ac:dyDescent="0.25">
      <c r="A68" s="22">
        <f t="shared" si="4"/>
        <v>86</v>
      </c>
      <c r="B68" s="28">
        <f>IF(A68&gt;200,"",IF($C$1='Adj-Mixed'!$A$21,VLOOKUP(A68,'337'!$A$6:$AB$188,4,FALSE),IF($C$1='Adj-Mixed'!$A$20,VLOOKUP(A68,'337'!$A$6:$AB$188,13,FALSE),IF($C$1='Adj-Mixed'!$A$19,VLOOKUP(A68,'337'!$A$6:$AB$188,22,FALSE)))))</f>
        <v>42.321787754005229</v>
      </c>
      <c r="C68" s="26">
        <f t="shared" si="5"/>
        <v>878.74457797633454</v>
      </c>
      <c r="D68" s="27">
        <f t="shared" si="6"/>
        <v>0.50115206359097542</v>
      </c>
      <c r="E68" s="27">
        <f>IF(A68&gt;200,"",IF($C$1='Adj-Mixed'!$A$21,VLOOKUP(A68,'337'!$A$7:$AB$188,10,FALSE),IF($C$1='Adj-Mixed'!$A$20,VLOOKUP(A68,'337'!$A$7:$AB$188,19,FALSE),IF($C$1='Adj-Mixed'!$A$19,VLOOKUP(A68,'337'!$A$7:$AB$188,28,FALSE)))))</f>
        <v>1.9954023392312492</v>
      </c>
      <c r="F68" s="27">
        <f>IF(A68&gt;200,"",IF($C$1='Adj-Mixed'!$A$21,VLOOKUP(A68,'337'!$A$7:$AB$188,7,FALSE),IF($C$1='Adj-Mixed'!$A$20,VLOOKUP(A68,'337'!$A$7:$AB$188,16,FALSE),IF($C$1='Adj-Mixed'!$A$19,VLOOKUP(A68,'337'!$A$7:$AB$188,25,FALSE)))))</f>
        <v>1.7536892152549561</v>
      </c>
      <c r="G68" s="27">
        <f t="shared" si="8"/>
        <v>57.513634640803346</v>
      </c>
      <c r="H68" s="1"/>
      <c r="I68" s="136">
        <f t="shared" ref="I68:I99" si="13">IF(A68&gt;200,"",I67+(J68/1000))</f>
        <v>46.109723043784157</v>
      </c>
      <c r="J68" s="26">
        <f>IF(A68&gt;200,"",(C68*'Adj-Mixed'!$C$6))</f>
        <v>968.71432141329797</v>
      </c>
      <c r="K68" s="27">
        <f>IF(A68&gt;200,"",D68*'Adj-Mixed'!$C$7)</f>
        <v>0.44492764209747721</v>
      </c>
      <c r="L68" s="1">
        <f t="shared" ref="L68:L99" si="14">IF(A68&gt;200,"",1/K68)</f>
        <v>2.2475564684760911</v>
      </c>
      <c r="M68" s="27">
        <f t="shared" ref="M68:M99" si="15">IF(A68&gt;200,"",(J68/1000)/K68)</f>
        <v>2.1772401391978846</v>
      </c>
      <c r="N68" s="122">
        <f t="shared" si="12"/>
        <v>71.415837523989438</v>
      </c>
    </row>
    <row r="69" spans="1:14" x14ac:dyDescent="0.25">
      <c r="A69" s="22">
        <f t="shared" ref="A69:A132" si="16">A68+1</f>
        <v>87</v>
      </c>
      <c r="B69" s="28">
        <f>IF(A69&gt;200,"",IF($C$1='Adj-Mixed'!$A$21,VLOOKUP(A69,'337'!$A$6:$AB$188,4,FALSE),IF($C$1='Adj-Mixed'!$A$20,VLOOKUP(A69,'337'!$A$6:$AB$188,13,FALSE),IF($C$1='Adj-Mixed'!$A$19,VLOOKUP(A69,'337'!$A$6:$AB$188,22,FALSE)))))</f>
        <v>43.206405485693594</v>
      </c>
      <c r="C69" s="26">
        <f t="shared" ref="C69:C132" si="17">IF(A69&gt;200,"",(B69-B68)*1000)</f>
        <v>884.61773168836544</v>
      </c>
      <c r="D69" s="27">
        <f t="shared" ref="D69:D132" si="18">IF(A69&gt;200,"",1/E69)</f>
        <v>0.49712415232795004</v>
      </c>
      <c r="E69" s="27">
        <f>IF(A69&gt;200,"",IF($C$1='Adj-Mixed'!$A$21,VLOOKUP(A69,'337'!$A$7:$AB$188,10,FALSE),IF($C$1='Adj-Mixed'!$A$20,VLOOKUP(A69,'337'!$A$7:$AB$188,19,FALSE),IF($C$1='Adj-Mixed'!$A$19,VLOOKUP(A69,'337'!$A$7:$AB$188,28,FALSE)))))</f>
        <v>2.0115699374435252</v>
      </c>
      <c r="F69" s="27">
        <f>IF(A69&gt;200,"",IF($C$1='Adj-Mixed'!$A$21,VLOOKUP(A69,'337'!$A$7:$AB$188,7,FALSE),IF($C$1='Adj-Mixed'!$A$20,VLOOKUP(A69,'337'!$A$7:$AB$188,16,FALSE),IF($C$1='Adj-Mixed'!$A$19,VLOOKUP(A69,'337'!$A$7:$AB$188,25,FALSE)))))</f>
        <v>1.7798984973780776</v>
      </c>
      <c r="G69" s="27">
        <f t="shared" si="8"/>
        <v>59.293533138181424</v>
      </c>
      <c r="H69" s="1"/>
      <c r="I69" s="136">
        <f t="shared" si="13"/>
        <v>47.084911838275637</v>
      </c>
      <c r="J69" s="26">
        <f>IF(A69&gt;200,"",(C69*'Adj-Mixed'!$C$6))</f>
        <v>975.18879449147983</v>
      </c>
      <c r="K69" s="27">
        <f>IF(A69&gt;200,"",D69*'Adj-Mixed'!$C$7)</f>
        <v>0.44135162357728125</v>
      </c>
      <c r="L69" s="1">
        <f t="shared" si="14"/>
        <v>2.2657671266613084</v>
      </c>
      <c r="M69" s="27">
        <f t="shared" si="15"/>
        <v>2.2095507128472653</v>
      </c>
      <c r="N69" s="122">
        <f t="shared" ref="N69:N100" si="19">IF(A69&gt;200,"",N68+M69)</f>
        <v>73.625388236836699</v>
      </c>
    </row>
    <row r="70" spans="1:14" x14ac:dyDescent="0.25">
      <c r="A70" s="22">
        <f t="shared" si="16"/>
        <v>88</v>
      </c>
      <c r="B70" s="28">
        <f>IF(A70&gt;200,"",IF($C$1='Adj-Mixed'!$A$21,VLOOKUP(A70,'337'!$A$6:$AB$188,4,FALSE),IF($C$1='Adj-Mixed'!$A$20,VLOOKUP(A70,'337'!$A$6:$AB$188,13,FALSE),IF($C$1='Adj-Mixed'!$A$19,VLOOKUP(A70,'337'!$A$6:$AB$188,22,FALSE)))))</f>
        <v>44.096738551937513</v>
      </c>
      <c r="C70" s="26">
        <f t="shared" si="17"/>
        <v>890.33306624391889</v>
      </c>
      <c r="D70" s="27">
        <f t="shared" si="18"/>
        <v>0.49320678396799134</v>
      </c>
      <c r="E70" s="27">
        <f>IF(A70&gt;200,"",IF($C$1='Adj-Mixed'!$A$21,VLOOKUP(A70,'337'!$A$7:$AB$188,10,FALSE),IF($C$1='Adj-Mixed'!$A$20,VLOOKUP(A70,'337'!$A$7:$AB$188,19,FALSE),IF($C$1='Adj-Mixed'!$A$19,VLOOKUP(A70,'337'!$A$7:$AB$188,28,FALSE)))))</f>
        <v>2.0275471313567719</v>
      </c>
      <c r="F70" s="27">
        <f>IF(A70&gt;200,"",IF($C$1='Adj-Mixed'!$A$21,VLOOKUP(A70,'337'!$A$7:$AB$188,7,FALSE),IF($C$1='Adj-Mixed'!$A$20,VLOOKUP(A70,'337'!$A$7:$AB$188,16,FALSE),IF($C$1='Adj-Mixed'!$A$19,VLOOKUP(A70,'337'!$A$7:$AB$188,25,FALSE)))))</f>
        <v>1.8058079665677222</v>
      </c>
      <c r="G70" s="27">
        <f t="shared" ref="G70:G133" si="20">IF(A70&gt;200,"",F70+G69)</f>
        <v>61.099341104749143</v>
      </c>
      <c r="H70" s="1"/>
      <c r="I70" s="136">
        <f t="shared" si="13"/>
        <v>48.066401128467909</v>
      </c>
      <c r="J70" s="26">
        <f>IF(A70&gt;200,"",(C70*'Adj-Mixed'!$C$6))</f>
        <v>981.48929019227035</v>
      </c>
      <c r="K70" s="27">
        <f>IF(A70&gt;200,"",D70*'Adj-Mixed'!$C$7)</f>
        <v>0.4378737461140324</v>
      </c>
      <c r="L70" s="1">
        <f t="shared" si="14"/>
        <v>2.2837633196203933</v>
      </c>
      <c r="M70" s="27">
        <f t="shared" si="15"/>
        <v>2.2414892395413633</v>
      </c>
      <c r="N70" s="122">
        <f t="shared" si="19"/>
        <v>75.866877476378065</v>
      </c>
    </row>
    <row r="71" spans="1:14" x14ac:dyDescent="0.25">
      <c r="A71" s="22">
        <f t="shared" si="16"/>
        <v>89</v>
      </c>
      <c r="B71" s="28">
        <f>IF(A71&gt;200,"",IF($C$1='Adj-Mixed'!$A$21,VLOOKUP(A71,'337'!$A$6:$AB$188,4,FALSE),IF($C$1='Adj-Mixed'!$A$20,VLOOKUP(A71,'337'!$A$6:$AB$188,13,FALSE),IF($C$1='Adj-Mixed'!$A$19,VLOOKUP(A71,'337'!$A$6:$AB$188,22,FALSE)))))</f>
        <v>44.99262923505826</v>
      </c>
      <c r="C71" s="26">
        <f t="shared" si="17"/>
        <v>895.8906831207471</v>
      </c>
      <c r="D71" s="27">
        <f t="shared" si="18"/>
        <v>0.4893959353593817</v>
      </c>
      <c r="E71" s="27">
        <f>IF(A71&gt;200,"",IF($C$1='Adj-Mixed'!$A$21,VLOOKUP(A71,'337'!$A$7:$AB$188,10,FALSE),IF($C$1='Adj-Mixed'!$A$20,VLOOKUP(A71,'337'!$A$7:$AB$188,19,FALSE),IF($C$1='Adj-Mixed'!$A$19,VLOOKUP(A71,'337'!$A$7:$AB$188,28,FALSE)))))</f>
        <v>2.043335319623492</v>
      </c>
      <c r="F71" s="27">
        <f>IF(A71&gt;200,"",IF($C$1='Adj-Mixed'!$A$21,VLOOKUP(A71,'337'!$A$7:$AB$188,7,FALSE),IF($C$1='Adj-Mixed'!$A$20,VLOOKUP(A71,'337'!$A$7:$AB$188,16,FALSE),IF($C$1='Adj-Mixed'!$A$19,VLOOKUP(A71,'337'!$A$7:$AB$188,25,FALSE)))))</f>
        <v>1.8314076923551441</v>
      </c>
      <c r="G71" s="27">
        <f t="shared" si="20"/>
        <v>62.930748797104286</v>
      </c>
      <c r="H71" s="1"/>
      <c r="I71" s="136">
        <f t="shared" si="13"/>
        <v>49.054017048851073</v>
      </c>
      <c r="J71" s="26">
        <f>IF(A71&gt;200,"",(C71*'Adj-Mixed'!$C$6))</f>
        <v>987.61592038316155</v>
      </c>
      <c r="K71" s="27">
        <f>IF(A71&gt;200,"",D71*'Adj-Mixed'!$C$7)</f>
        <v>0.43449043791478092</v>
      </c>
      <c r="L71" s="1">
        <f t="shared" si="14"/>
        <v>2.3015466227501551</v>
      </c>
      <c r="M71" s="27">
        <f t="shared" si="15"/>
        <v>2.2730440861321517</v>
      </c>
      <c r="N71" s="122">
        <f t="shared" si="19"/>
        <v>78.13992156251021</v>
      </c>
    </row>
    <row r="72" spans="1:14" x14ac:dyDescent="0.25">
      <c r="A72" s="22">
        <f t="shared" si="16"/>
        <v>90</v>
      </c>
      <c r="B72" s="28">
        <f>IF(A72&gt;200,"",IF($C$1='Adj-Mixed'!$A$21,VLOOKUP(A72,'337'!$A$6:$AB$188,4,FALSE),IF($C$1='Adj-Mixed'!$A$20,VLOOKUP(A72,'337'!$A$6:$AB$188,13,FALSE),IF($C$1='Adj-Mixed'!$A$19,VLOOKUP(A72,'337'!$A$6:$AB$188,22,FALSE)))))</f>
        <v>45.893919991285827</v>
      </c>
      <c r="C72" s="26">
        <f t="shared" si="17"/>
        <v>901.29075622756716</v>
      </c>
      <c r="D72" s="27">
        <f t="shared" si="18"/>
        <v>0.48568770115365439</v>
      </c>
      <c r="E72" s="27">
        <f>IF(A72&gt;200,"",IF($C$1='Adj-Mixed'!$A$21,VLOOKUP(A72,'337'!$A$7:$AB$188,10,FALSE),IF($C$1='Adj-Mixed'!$A$20,VLOOKUP(A72,'337'!$A$7:$AB$188,19,FALSE),IF($C$1='Adj-Mixed'!$A$19,VLOOKUP(A72,'337'!$A$7:$AB$188,28,FALSE)))))</f>
        <v>2.0589362210010655</v>
      </c>
      <c r="F72" s="27">
        <f>IF(A72&gt;200,"",IF($C$1='Adj-Mixed'!$A$21,VLOOKUP(A72,'337'!$A$7:$AB$188,7,FALSE),IF($C$1='Adj-Mixed'!$A$20,VLOOKUP(A72,'337'!$A$7:$AB$188,16,FALSE),IF($C$1='Adj-Mixed'!$A$19,VLOOKUP(A72,'337'!$A$7:$AB$188,25,FALSE)))))</f>
        <v>1.8566884204712191</v>
      </c>
      <c r="G72" s="27">
        <f t="shared" si="20"/>
        <v>64.787437217575501</v>
      </c>
      <c r="H72" s="1"/>
      <c r="I72" s="136">
        <f t="shared" si="13"/>
        <v>50.047585925629484</v>
      </c>
      <c r="J72" s="26">
        <f>IF(A72&gt;200,"",(C72*'Adj-Mixed'!$C$6))</f>
        <v>993.56887677841144</v>
      </c>
      <c r="K72" s="27">
        <f>IF(A72&gt;200,"",D72*'Adj-Mixed'!$C$7)</f>
        <v>0.43119823177344085</v>
      </c>
      <c r="L72" s="1">
        <f t="shared" si="14"/>
        <v>2.3191189720031544</v>
      </c>
      <c r="M72" s="27">
        <f t="shared" si="15"/>
        <v>2.3042044321286781</v>
      </c>
      <c r="N72" s="122">
        <f t="shared" si="19"/>
        <v>80.444125994638881</v>
      </c>
    </row>
    <row r="73" spans="1:14" x14ac:dyDescent="0.25">
      <c r="A73" s="22">
        <f t="shared" si="16"/>
        <v>91</v>
      </c>
      <c r="B73" s="28">
        <f>IF(A73&gt;200,"",IF($C$1='Adj-Mixed'!$A$21,VLOOKUP(A73,'337'!$A$6:$AB$188,4,FALSE),IF($C$1='Adj-Mixed'!$A$20,VLOOKUP(A73,'337'!$A$6:$AB$188,13,FALSE),IF($C$1='Adj-Mixed'!$A$19,VLOOKUP(A73,'337'!$A$6:$AB$188,22,FALSE)))))</f>
        <v>46.800453521713862</v>
      </c>
      <c r="C73" s="26">
        <f t="shared" si="17"/>
        <v>906.53353042803531</v>
      </c>
      <c r="D73" s="27">
        <f t="shared" si="18"/>
        <v>0.48207829057230001</v>
      </c>
      <c r="E73" s="27">
        <f>IF(A73&gt;200,"",IF($C$1='Adj-Mixed'!$A$21,VLOOKUP(A73,'337'!$A$7:$AB$188,10,FALSE),IF($C$1='Adj-Mixed'!$A$20,VLOOKUP(A73,'337'!$A$7:$AB$188,19,FALSE),IF($C$1='Adj-Mixed'!$A$19,VLOOKUP(A73,'337'!$A$7:$AB$188,28,FALSE)))))</f>
        <v>2.0743518626670543</v>
      </c>
      <c r="F73" s="27">
        <f>IF(A73&gt;200,"",IF($C$1='Adj-Mixed'!$A$21,VLOOKUP(A73,'337'!$A$7:$AB$188,7,FALSE),IF($C$1='Adj-Mixed'!$A$20,VLOOKUP(A73,'337'!$A$7:$AB$188,16,FALSE),IF($C$1='Adj-Mixed'!$A$19,VLOOKUP(A73,'337'!$A$7:$AB$188,25,FALSE)))))</f>
        <v>1.88164157226664</v>
      </c>
      <c r="G73" s="27">
        <f t="shared" si="20"/>
        <v>66.669078789842146</v>
      </c>
      <c r="H73" s="1"/>
      <c r="I73" s="136">
        <f t="shared" si="13"/>
        <v>51.046934354941378</v>
      </c>
      <c r="J73" s="26">
        <f>IF(A73&gt;200,"",(C73*'Adj-Mixed'!$C$6))</f>
        <v>999.34842931189678</v>
      </c>
      <c r="K73" s="27">
        <f>IF(A73&gt;200,"",D73*'Adj-Mixed'!$C$7)</f>
        <v>0.42799376220024082</v>
      </c>
      <c r="L73" s="1">
        <f t="shared" si="14"/>
        <v>2.3364826507264391</v>
      </c>
      <c r="M73" s="27">
        <f t="shared" si="15"/>
        <v>2.3349602671179643</v>
      </c>
      <c r="N73" s="122">
        <f t="shared" si="19"/>
        <v>82.779086261756845</v>
      </c>
    </row>
    <row r="74" spans="1:14" x14ac:dyDescent="0.25">
      <c r="A74" s="22">
        <f t="shared" si="16"/>
        <v>92</v>
      </c>
      <c r="B74" s="28">
        <f>IF(A74&gt;200,"",IF($C$1='Adj-Mixed'!$A$21,VLOOKUP(A74,'337'!$A$6:$AB$188,4,FALSE),IF($C$1='Adj-Mixed'!$A$20,VLOOKUP(A74,'337'!$A$6:$AB$188,13,FALSE),IF($C$1='Adj-Mixed'!$A$19,VLOOKUP(A74,'337'!$A$6:$AB$188,22,FALSE)))))</f>
        <v>47.712072841747414</v>
      </c>
      <c r="C74" s="26">
        <f t="shared" si="17"/>
        <v>911.61932003355162</v>
      </c>
      <c r="D74" s="27">
        <f t="shared" si="18"/>
        <v>0.47856402427346811</v>
      </c>
      <c r="E74" s="27">
        <f>IF(A74&gt;200,"",IF($C$1='Adj-Mixed'!$A$21,VLOOKUP(A74,'337'!$A$7:$AB$188,10,FALSE),IF($C$1='Adj-Mixed'!$A$20,VLOOKUP(A74,'337'!$A$7:$AB$188,19,FALSE),IF($C$1='Adj-Mixed'!$A$19,VLOOKUP(A74,'337'!$A$7:$AB$188,28,FALSE)))))</f>
        <v>2.0895845681633713</v>
      </c>
      <c r="F74" s="27">
        <f>IF(A74&gt;200,"",IF($C$1='Adj-Mixed'!$A$21,VLOOKUP(A74,'337'!$A$7:$AB$188,7,FALSE),IF($C$1='Adj-Mixed'!$A$20,VLOOKUP(A74,'337'!$A$7:$AB$188,16,FALSE),IF($C$1='Adj-Mixed'!$A$19,VLOOKUP(A74,'337'!$A$7:$AB$188,25,FALSE)))))</f>
        <v>1.9062592420973465</v>
      </c>
      <c r="G74" s="27">
        <f t="shared" si="20"/>
        <v>68.575338031939495</v>
      </c>
      <c r="H74" s="1"/>
      <c r="I74" s="136">
        <f t="shared" si="13"/>
        <v>52.051889279416983</v>
      </c>
      <c r="J74" s="26">
        <f>IF(A74&gt;200,"",(C74*'Adj-Mixed'!$C$6))</f>
        <v>1004.9549244756043</v>
      </c>
      <c r="K74" s="27">
        <f>IF(A74&gt;200,"",D74*'Adj-Mixed'!$C$7)</f>
        <v>0.42487376263995158</v>
      </c>
      <c r="L74" s="1">
        <f t="shared" si="14"/>
        <v>2.3536402760822499</v>
      </c>
      <c r="M74" s="27">
        <f t="shared" si="15"/>
        <v>2.3653023858929783</v>
      </c>
      <c r="N74" s="122">
        <f t="shared" si="19"/>
        <v>85.144388647649819</v>
      </c>
    </row>
    <row r="75" spans="1:14" x14ac:dyDescent="0.25">
      <c r="A75" s="22">
        <f t="shared" si="16"/>
        <v>93</v>
      </c>
      <c r="B75" s="28">
        <f>IF(A75&gt;200,"",IF($C$1='Adj-Mixed'!$A$21,VLOOKUP(A75,'337'!$A$6:$AB$188,4,FALSE),IF($C$1='Adj-Mixed'!$A$20,VLOOKUP(A75,'337'!$A$6:$AB$188,13,FALSE),IF($C$1='Adj-Mixed'!$A$19,VLOOKUP(A75,'337'!$A$6:$AB$188,22,FALSE)))))</f>
        <v>48.628621349015063</v>
      </c>
      <c r="C75" s="26">
        <f t="shared" si="17"/>
        <v>916.54850726764892</v>
      </c>
      <c r="D75" s="27">
        <f t="shared" si="18"/>
        <v>0.47514133132053582</v>
      </c>
      <c r="E75" s="27">
        <f>IF(A75&gt;200,"",IF($C$1='Adj-Mixed'!$A$21,VLOOKUP(A75,'337'!$A$7:$AB$188,10,FALSE),IF($C$1='Adj-Mixed'!$A$20,VLOOKUP(A75,'337'!$A$7:$AB$188,19,FALSE),IF($C$1='Adj-Mixed'!$A$19,VLOOKUP(A75,'337'!$A$7:$AB$188,28,FALSE)))))</f>
        <v>2.10463694501329</v>
      </c>
      <c r="F75" s="27">
        <f>IF(A75&gt;200,"",IF($C$1='Adj-Mixed'!$A$21,VLOOKUP(A75,'337'!$A$7:$AB$188,7,FALSE),IF($C$1='Adj-Mixed'!$A$20,VLOOKUP(A75,'337'!$A$7:$AB$188,16,FALSE),IF($C$1='Adj-Mixed'!$A$19,VLOOKUP(A75,'337'!$A$7:$AB$188,25,FALSE)))))</f>
        <v>1.9305341927590658</v>
      </c>
      <c r="G75" s="27">
        <f t="shared" si="20"/>
        <v>70.505872224698564</v>
      </c>
      <c r="H75" s="1"/>
      <c r="I75" s="136">
        <f t="shared" si="13"/>
        <v>53.062278063043777</v>
      </c>
      <c r="J75" s="26">
        <f>IF(A75&gt;200,"",(C75*'Adj-Mixed'!$C$6))</f>
        <v>1010.388783626797</v>
      </c>
      <c r="K75" s="27">
        <f>IF(A75&gt;200,"",D75*'Adj-Mixed'!$C$7)</f>
        <v>0.42183506278055177</v>
      </c>
      <c r="L75" s="1">
        <f t="shared" si="14"/>
        <v>2.37059478510022</v>
      </c>
      <c r="M75" s="27">
        <f t="shared" si="15"/>
        <v>2.39522238138944</v>
      </c>
      <c r="N75" s="122">
        <f t="shared" si="19"/>
        <v>87.539611029039264</v>
      </c>
    </row>
    <row r="76" spans="1:14" x14ac:dyDescent="0.25">
      <c r="A76" s="22">
        <f t="shared" si="16"/>
        <v>94</v>
      </c>
      <c r="B76" s="28">
        <f>IF(A76&gt;200,"",IF($C$1='Adj-Mixed'!$A$21,VLOOKUP(A76,'337'!$A$6:$AB$188,4,FALSE),IF($C$1='Adj-Mixed'!$A$20,VLOOKUP(A76,'337'!$A$6:$AB$188,13,FALSE),IF($C$1='Adj-Mixed'!$A$19,VLOOKUP(A76,'337'!$A$6:$AB$188,22,FALSE)))))</f>
        <v>49.549942889718878</v>
      </c>
      <c r="C76" s="26">
        <f t="shared" si="17"/>
        <v>921.32154070381489</v>
      </c>
      <c r="D76" s="27">
        <f t="shared" si="18"/>
        <v>0.47180674625282665</v>
      </c>
      <c r="E76" s="27">
        <f>IF(A76&gt;200,"",IF($C$1='Adj-Mixed'!$A$21,VLOOKUP(A76,'337'!$A$7:$AB$188,10,FALSE),IF($C$1='Adj-Mixed'!$A$20,VLOOKUP(A76,'337'!$A$7:$AB$188,19,FALSE),IF($C$1='Adj-Mixed'!$A$19,VLOOKUP(A76,'337'!$A$7:$AB$188,28,FALSE)))))</f>
        <v>2.1195118720581645</v>
      </c>
      <c r="F76" s="27">
        <f>IF(A76&gt;200,"",IF($C$1='Adj-Mixed'!$A$21,VLOOKUP(A76,'337'!$A$7:$AB$188,7,FALSE),IF($C$1='Adj-Mixed'!$A$20,VLOOKUP(A76,'337'!$A$7:$AB$188,16,FALSE),IF($C$1='Adj-Mixed'!$A$19,VLOOKUP(A76,'337'!$A$7:$AB$188,25,FALSE)))))</f>
        <v>1.9544598490617142</v>
      </c>
      <c r="G76" s="27">
        <f t="shared" si="20"/>
        <v>72.460332073760284</v>
      </c>
      <c r="H76" s="1"/>
      <c r="I76" s="136">
        <f t="shared" si="13"/>
        <v>54.077928564309673</v>
      </c>
      <c r="J76" s="26">
        <f>IF(A76&gt;200,"",(C76*'Adj-Mixed'!$C$6))</f>
        <v>1015.6505012658935</v>
      </c>
      <c r="K76" s="27">
        <f>IF(A76&gt;200,"",D76*'Adj-Mixed'!$C$7)</f>
        <v>0.41887458595258403</v>
      </c>
      <c r="L76" s="1">
        <f t="shared" si="14"/>
        <v>2.3873494204138668</v>
      </c>
      <c r="M76" s="27">
        <f t="shared" si="15"/>
        <v>2.424712635540184</v>
      </c>
      <c r="N76" s="122">
        <f t="shared" si="19"/>
        <v>89.964323664579453</v>
      </c>
    </row>
    <row r="77" spans="1:14" x14ac:dyDescent="0.25">
      <c r="A77" s="22">
        <f t="shared" si="16"/>
        <v>95</v>
      </c>
      <c r="B77" s="28">
        <f>IF(A77&gt;200,"",IF($C$1='Adj-Mixed'!$A$21,VLOOKUP(A77,'337'!$A$6:$AB$188,4,FALSE),IF($C$1='Adj-Mixed'!$A$20,VLOOKUP(A77,'337'!$A$6:$AB$188,13,FALSE),IF($C$1='Adj-Mixed'!$A$19,VLOOKUP(A77,'337'!$A$6:$AB$188,22,FALSE)))))</f>
        <v>50.475881823397806</v>
      </c>
      <c r="C77" s="26">
        <f t="shared" si="17"/>
        <v>925.93893367892838</v>
      </c>
      <c r="D77" s="27">
        <f t="shared" si="18"/>
        <v>0.46855690625782037</v>
      </c>
      <c r="E77" s="27">
        <f>IF(A77&gt;200,"",IF($C$1='Adj-Mixed'!$A$21,VLOOKUP(A77,'337'!$A$7:$AB$188,10,FALSE),IF($C$1='Adj-Mixed'!$A$20,VLOOKUP(A77,'337'!$A$7:$AB$188,19,FALSE),IF($C$1='Adj-Mixed'!$A$19,VLOOKUP(A77,'337'!$A$7:$AB$188,28,FALSE)))))</f>
        <v>2.1342124865613581</v>
      </c>
      <c r="F77" s="27">
        <f>IF(A77&gt;200,"",IF($C$1='Adj-Mixed'!$A$21,VLOOKUP(A77,'337'!$A$7:$AB$188,7,FALSE),IF($C$1='Adj-Mixed'!$A$20,VLOOKUP(A77,'337'!$A$7:$AB$188,16,FALSE),IF($C$1='Adj-Mixed'!$A$19,VLOOKUP(A77,'337'!$A$7:$AB$188,25,FALSE)))))</f>
        <v>1.9780302896404034</v>
      </c>
      <c r="G77" s="27">
        <f t="shared" si="20"/>
        <v>74.438362363400685</v>
      </c>
      <c r="H77" s="1"/>
      <c r="I77" s="136">
        <f t="shared" si="13"/>
        <v>55.09866920759714</v>
      </c>
      <c r="J77" s="26">
        <f>IF(A77&gt;200,"",(C77*'Adj-Mixed'!$C$6))</f>
        <v>1020.7406432874652</v>
      </c>
      <c r="K77" s="27">
        <f>IF(A77&gt;200,"",D77*'Adj-Mixed'!$C$7)</f>
        <v>0.41598934661861542</v>
      </c>
      <c r="L77" s="1">
        <f t="shared" si="14"/>
        <v>2.4039077157348774</v>
      </c>
      <c r="M77" s="27">
        <f t="shared" si="15"/>
        <v>2.45376630816292</v>
      </c>
      <c r="N77" s="122">
        <f t="shared" si="19"/>
        <v>92.418089972742379</v>
      </c>
    </row>
    <row r="78" spans="1:14" x14ac:dyDescent="0.25">
      <c r="A78" s="22">
        <f t="shared" si="16"/>
        <v>96</v>
      </c>
      <c r="B78" s="28">
        <f>IF(A78&gt;200,"",IF($C$1='Adj-Mixed'!$A$21,VLOOKUP(A78,'337'!$A$6:$AB$188,4,FALSE),IF($C$1='Adj-Mixed'!$A$20,VLOOKUP(A78,'337'!$A$6:$AB$188,13,FALSE),IF($C$1='Adj-Mixed'!$A$19,VLOOKUP(A78,'337'!$A$6:$AB$188,22,FALSE)))))</f>
        <v>51.406283086083022</v>
      </c>
      <c r="C78" s="26">
        <f t="shared" si="17"/>
        <v>930.40126268521567</v>
      </c>
      <c r="D78" s="27">
        <f t="shared" si="18"/>
        <v>0.46538854844399596</v>
      </c>
      <c r="E78" s="27">
        <f>IF(A78&gt;200,"",IF($C$1='Adj-Mixed'!$A$21,VLOOKUP(A78,'337'!$A$7:$AB$188,10,FALSE),IF($C$1='Adj-Mixed'!$A$20,VLOOKUP(A78,'337'!$A$7:$AB$188,19,FALSE),IF($C$1='Adj-Mixed'!$A$19,VLOOKUP(A78,'337'!$A$7:$AB$188,28,FALSE)))))</f>
        <v>2.1487421711244323</v>
      </c>
      <c r="F78" s="27">
        <f>IF(A78&gt;200,"",IF($C$1='Adj-Mixed'!$A$21,VLOOKUP(A78,'337'!$A$7:$AB$188,7,FALSE),IF($C$1='Adj-Mixed'!$A$20,VLOOKUP(A78,'337'!$A$7:$AB$188,16,FALSE),IF($C$1='Adj-Mixed'!$A$19,VLOOKUP(A78,'337'!$A$7:$AB$188,25,FALSE)))))</f>
        <v>2.0012402371048887</v>
      </c>
      <c r="G78" s="27">
        <f t="shared" si="20"/>
        <v>76.43960260050558</v>
      </c>
      <c r="H78" s="1"/>
      <c r="I78" s="136">
        <f t="shared" si="13"/>
        <v>56.124329052804697</v>
      </c>
      <c r="J78" s="26">
        <f>IF(A78&gt;200,"",(C78*'Adj-Mixed'!$C$6))</f>
        <v>1025.6598452075536</v>
      </c>
      <c r="K78" s="27">
        <f>IF(A78&gt;200,"",D78*'Adj-Mixed'!$C$7)</f>
        <v>0.41317644795204111</v>
      </c>
      <c r="L78" s="1">
        <f t="shared" si="14"/>
        <v>2.4202734811159266</v>
      </c>
      <c r="M78" s="27">
        <f t="shared" si="15"/>
        <v>2.4823773240013081</v>
      </c>
      <c r="N78" s="122">
        <f t="shared" si="19"/>
        <v>94.900467296743685</v>
      </c>
    </row>
    <row r="79" spans="1:14" x14ac:dyDescent="0.25">
      <c r="A79" s="22">
        <f t="shared" si="16"/>
        <v>97</v>
      </c>
      <c r="B79" s="28">
        <f>IF(A79&gt;200,"",IF($C$1='Adj-Mixed'!$A$21,VLOOKUP(A79,'337'!$A$6:$AB$188,4,FALSE),IF($C$1='Adj-Mixed'!$A$20,VLOOKUP(A79,'337'!$A$6:$AB$188,13,FALSE),IF($C$1='Adj-Mixed'!$A$19,VLOOKUP(A79,'337'!$A$6:$AB$188,22,FALSE)))))</f>
        <v>52.340992251824915</v>
      </c>
      <c r="C79" s="26">
        <f t="shared" si="17"/>
        <v>934.70916574189289</v>
      </c>
      <c r="D79" s="27">
        <f t="shared" si="18"/>
        <v>0.46229850721183369</v>
      </c>
      <c r="E79" s="27">
        <f>IF(A79&gt;200,"",IF($C$1='Adj-Mixed'!$A$21,VLOOKUP(A79,'337'!$A$7:$AB$188,10,FALSE),IF($C$1='Adj-Mixed'!$A$20,VLOOKUP(A79,'337'!$A$7:$AB$188,19,FALSE),IF($C$1='Adj-Mixed'!$A$19,VLOOKUP(A79,'337'!$A$7:$AB$188,28,FALSE)))))</f>
        <v>2.1631045404647642</v>
      </c>
      <c r="F79" s="27">
        <f>IF(A79&gt;200,"",IF($C$1='Adj-Mixed'!$A$21,VLOOKUP(A79,'337'!$A$7:$AB$188,7,FALSE),IF($C$1='Adj-Mixed'!$A$20,VLOOKUP(A79,'337'!$A$7:$AB$188,16,FALSE),IF($C$1='Adj-Mixed'!$A$19,VLOOKUP(A79,'337'!$A$7:$AB$188,25,FALSE)))))</f>
        <v>2.0240850466335134</v>
      </c>
      <c r="G79" s="27">
        <f t="shared" si="20"/>
        <v>78.463687647139096</v>
      </c>
      <c r="H79" s="1"/>
      <c r="I79" s="136">
        <f t="shared" si="13"/>
        <v>57.154737863173288</v>
      </c>
      <c r="J79" s="26">
        <f>IF(A79&gt;200,"",(C79*'Adj-Mixed'!$C$6))</f>
        <v>1030.4088103685947</v>
      </c>
      <c r="K79" s="27">
        <f>IF(A79&gt;200,"",D79*'Adj-Mixed'!$C$7)</f>
        <v>0.4104330795030347</v>
      </c>
      <c r="L79" s="1">
        <f t="shared" si="14"/>
        <v>2.4364507880574138</v>
      </c>
      <c r="M79" s="27">
        <f t="shared" si="15"/>
        <v>2.5105403580438646</v>
      </c>
      <c r="N79" s="122">
        <f t="shared" si="19"/>
        <v>97.411007654787554</v>
      </c>
    </row>
    <row r="80" spans="1:14" x14ac:dyDescent="0.25">
      <c r="A80" s="22">
        <f t="shared" si="16"/>
        <v>98</v>
      </c>
      <c r="B80" s="28">
        <f>IF(A80&gt;200,"",IF($C$1='Adj-Mixed'!$A$21,VLOOKUP(A80,'337'!$A$6:$AB$188,4,FALSE),IF($C$1='Adj-Mixed'!$A$20,VLOOKUP(A80,'337'!$A$6:$AB$188,13,FALSE),IF($C$1='Adj-Mixed'!$A$19,VLOOKUP(A80,'337'!$A$6:$AB$188,22,FALSE)))))</f>
        <v>53.279855592574776</v>
      </c>
      <c r="C80" s="26">
        <f t="shared" si="17"/>
        <v>938.86334074986166</v>
      </c>
      <c r="D80" s="27">
        <f t="shared" si="18"/>
        <v>0.45928371172107879</v>
      </c>
      <c r="E80" s="27">
        <f>IF(A80&gt;200,"",IF($C$1='Adj-Mixed'!$A$21,VLOOKUP(A80,'337'!$A$7:$AB$188,10,FALSE),IF($C$1='Adj-Mixed'!$A$20,VLOOKUP(A80,'337'!$A$7:$AB$188,19,FALSE),IF($C$1='Adj-Mixed'!$A$19,VLOOKUP(A80,'337'!$A$7:$AB$188,28,FALSE)))))</f>
        <v>2.1773034280982646</v>
      </c>
      <c r="F80" s="27">
        <f>IF(A80&gt;200,"",IF($C$1='Adj-Mixed'!$A$21,VLOOKUP(A80,'337'!$A$7:$AB$188,7,FALSE),IF($C$1='Adj-Mixed'!$A$20,VLOOKUP(A80,'337'!$A$7:$AB$188,16,FALSE),IF($C$1='Adj-Mixed'!$A$19,VLOOKUP(A80,'337'!$A$7:$AB$188,25,FALSE)))))</f>
        <v>2.046560693121021</v>
      </c>
      <c r="G80" s="27">
        <f t="shared" si="20"/>
        <v>80.510248340260119</v>
      </c>
      <c r="H80" s="1"/>
      <c r="I80" s="136">
        <f t="shared" si="13"/>
        <v>58.18972617129895</v>
      </c>
      <c r="J80" s="26">
        <f>IF(A80&gt;200,"",(C80*'Adj-Mixed'!$C$6))</f>
        <v>1034.9883081256608</v>
      </c>
      <c r="K80" s="27">
        <f>IF(A80&gt;200,"",D80*'Adj-Mixed'!$C$7)</f>
        <v>0.40775651494996035</v>
      </c>
      <c r="L80" s="1">
        <f t="shared" si="14"/>
        <v>2.4524439545073102</v>
      </c>
      <c r="M80" s="27">
        <f t="shared" si="15"/>
        <v>2.538250819248526</v>
      </c>
      <c r="N80" s="122">
        <f t="shared" si="19"/>
        <v>99.949258474036085</v>
      </c>
    </row>
    <row r="81" spans="1:14" x14ac:dyDescent="0.25">
      <c r="A81" s="22">
        <f t="shared" si="16"/>
        <v>99</v>
      </c>
      <c r="B81" s="28">
        <f>IF(A81&gt;200,"",IF($C$1='Adj-Mixed'!$A$21,VLOOKUP(A81,'337'!$A$6:$AB$188,4,FALSE),IF($C$1='Adj-Mixed'!$A$20,VLOOKUP(A81,'337'!$A$6:$AB$188,13,FALSE),IF($C$1='Adj-Mixed'!$A$19,VLOOKUP(A81,'337'!$A$6:$AB$188,22,FALSE)))))</f>
        <v>54.222720136405435</v>
      </c>
      <c r="C81" s="26">
        <f t="shared" si="17"/>
        <v>942.86454383065893</v>
      </c>
      <c r="D81" s="27">
        <f t="shared" si="18"/>
        <v>0.45634118345095015</v>
      </c>
      <c r="E81" s="27">
        <f>IF(A81&gt;200,"",IF($C$1='Adj-Mixed'!$A$21,VLOOKUP(A81,'337'!$A$7:$AB$188,10,FALSE),IF($C$1='Adj-Mixed'!$A$20,VLOOKUP(A81,'337'!$A$7:$AB$188,19,FALSE),IF($C$1='Adj-Mixed'!$A$19,VLOOKUP(A81,'337'!$A$7:$AB$188,28,FALSE)))))</f>
        <v>2.1913428729745252</v>
      </c>
      <c r="F81" s="27">
        <f>IF(A81&gt;200,"",IF($C$1='Adj-Mixed'!$A$21,VLOOKUP(A81,'337'!$A$7:$AB$188,7,FALSE),IF($C$1='Adj-Mixed'!$A$20,VLOOKUP(A81,'337'!$A$7:$AB$188,16,FALSE),IF($C$1='Adj-Mixed'!$A$19,VLOOKUP(A81,'337'!$A$7:$AB$188,25,FALSE)))))</f>
        <v>2.0686637569921182</v>
      </c>
      <c r="G81" s="27">
        <f t="shared" si="20"/>
        <v>82.578912097252243</v>
      </c>
      <c r="H81" s="1"/>
      <c r="I81" s="136">
        <f t="shared" si="13"/>
        <v>59.229125343314294</v>
      </c>
      <c r="J81" s="26">
        <f>IF(A81&gt;200,"",(C81*'Adj-Mixed'!$C$6))</f>
        <v>1039.3991720153447</v>
      </c>
      <c r="K81" s="27">
        <f>IF(A81&gt;200,"",D81*'Adj-Mixed'!$C$7)</f>
        <v>0.40514410993330247</v>
      </c>
      <c r="L81" s="1">
        <f t="shared" si="14"/>
        <v>2.4682575298074227</v>
      </c>
      <c r="M81" s="27">
        <f t="shared" si="15"/>
        <v>2.5655048328024748</v>
      </c>
      <c r="N81" s="122">
        <f t="shared" si="19"/>
        <v>102.51476330683856</v>
      </c>
    </row>
    <row r="82" spans="1:14" x14ac:dyDescent="0.25">
      <c r="A82" s="22">
        <f t="shared" si="16"/>
        <v>100</v>
      </c>
      <c r="B82" s="28">
        <f>IF(A82&gt;200,"",IF($C$1='Adj-Mixed'!$A$21,VLOOKUP(A82,'337'!$A$6:$AB$188,4,FALSE),IF($C$1='Adj-Mixed'!$A$20,VLOOKUP(A82,'337'!$A$6:$AB$188,13,FALSE),IF($C$1='Adj-Mixed'!$A$19,VLOOKUP(A82,'337'!$A$6:$AB$188,22,FALSE)))))</f>
        <v>55.169433724058081</v>
      </c>
      <c r="C82" s="26">
        <f t="shared" si="17"/>
        <v>946.71358765264563</v>
      </c>
      <c r="D82" s="27">
        <f t="shared" si="18"/>
        <v>0.45346803385047524</v>
      </c>
      <c r="E82" s="27">
        <f>IF(A82&gt;200,"",IF($C$1='Adj-Mixed'!$A$21,VLOOKUP(A82,'337'!$A$7:$AB$188,10,FALSE),IF($C$1='Adj-Mixed'!$A$20,VLOOKUP(A82,'337'!$A$7:$AB$188,19,FALSE),IF($C$1='Adj-Mixed'!$A$19,VLOOKUP(A82,'337'!$A$7:$AB$188,28,FALSE)))))</f>
        <v>2.2052271061067472</v>
      </c>
      <c r="F82" s="27">
        <f>IF(A82&gt;200,"",IF($C$1='Adj-Mixed'!$A$21,VLOOKUP(A82,'337'!$A$7:$AB$188,7,FALSE),IF($C$1='Adj-Mixed'!$A$20,VLOOKUP(A82,'337'!$A$7:$AB$188,16,FALSE),IF($C$1='Adj-Mixed'!$A$19,VLOOKUP(A82,'337'!$A$7:$AB$188,25,FALSE)))))</f>
        <v>2.0903914087942814</v>
      </c>
      <c r="G82" s="27">
        <f t="shared" si="20"/>
        <v>84.669303506046518</v>
      </c>
      <c r="H82" s="1"/>
      <c r="I82" s="136">
        <f t="shared" si="13"/>
        <v>60.272767641224874</v>
      </c>
      <c r="J82" s="26">
        <f>IF(A82&gt;200,"",(C82*'Adj-Mixed'!$C$6))</f>
        <v>1043.6422979105764</v>
      </c>
      <c r="K82" s="27">
        <f>IF(A82&gt;200,"",D82*'Adj-Mixed'!$C$7)</f>
        <v>0.40259329996961057</v>
      </c>
      <c r="L82" s="1">
        <f t="shared" si="14"/>
        <v>2.4838962796337749</v>
      </c>
      <c r="M82" s="27">
        <f t="shared" si="15"/>
        <v>2.5922992210485245</v>
      </c>
      <c r="N82" s="122">
        <f t="shared" si="19"/>
        <v>105.10706252788708</v>
      </c>
    </row>
    <row r="83" spans="1:14" x14ac:dyDescent="0.25">
      <c r="A83" s="22">
        <f t="shared" si="16"/>
        <v>101</v>
      </c>
      <c r="B83" s="28">
        <f>IF(A83&gt;200,"",IF($C$1='Adj-Mixed'!$A$21,VLOOKUP(A83,'337'!$A$6:$AB$188,4,FALSE),IF($C$1='Adj-Mixed'!$A$20,VLOOKUP(A83,'337'!$A$6:$AB$188,13,FALSE),IF($C$1='Adj-Mixed'!$A$19,VLOOKUP(A83,'337'!$A$6:$AB$188,22,FALSE)))))</f>
        <v>56.11984506380405</v>
      </c>
      <c r="C83" s="26">
        <f t="shared" si="17"/>
        <v>950.41133974596903</v>
      </c>
      <c r="D83" s="27">
        <f t="shared" si="18"/>
        <v>0.45066146207520097</v>
      </c>
      <c r="E83" s="27">
        <f>IF(A83&gt;200,"",IF($C$1='Adj-Mixed'!$A$21,VLOOKUP(A83,'337'!$A$7:$AB$188,10,FALSE),IF($C$1='Adj-Mixed'!$A$20,VLOOKUP(A83,'337'!$A$7:$AB$188,19,FALSE),IF($C$1='Adj-Mixed'!$A$19,VLOOKUP(A83,'337'!$A$7:$AB$188,28,FALSE)))))</f>
        <v>2.2189605372405508</v>
      </c>
      <c r="F83" s="27">
        <f>IF(A83&gt;200,"",IF($C$1='Adj-Mixed'!$A$21,VLOOKUP(A83,'337'!$A$7:$AB$188,7,FALSE),IF($C$1='Adj-Mixed'!$A$20,VLOOKUP(A83,'337'!$A$7:$AB$188,16,FALSE),IF($C$1='Adj-Mixed'!$A$19,VLOOKUP(A83,'337'!$A$7:$AB$188,25,FALSE)))))</f>
        <v>2.1117413926841957</v>
      </c>
      <c r="G83" s="27">
        <f t="shared" si="20"/>
        <v>86.781044898730713</v>
      </c>
      <c r="H83" s="1"/>
      <c r="I83" s="136">
        <f t="shared" si="13"/>
        <v>61.320486283387936</v>
      </c>
      <c r="J83" s="26">
        <f>IF(A83&gt;200,"",(C83*'Adj-Mixed'!$C$6))</f>
        <v>1047.7186421630638</v>
      </c>
      <c r="K83" s="27">
        <f>IF(A83&gt;200,"",D83*'Adj-Mixed'!$C$7)</f>
        <v>0.40010159844212911</v>
      </c>
      <c r="L83" s="1">
        <f t="shared" si="14"/>
        <v>2.4993651709807914</v>
      </c>
      <c r="M83" s="27">
        <f t="shared" si="15"/>
        <v>2.6186314832096484</v>
      </c>
      <c r="N83" s="122">
        <f t="shared" si="19"/>
        <v>107.72569401109673</v>
      </c>
    </row>
    <row r="84" spans="1:14" x14ac:dyDescent="0.25">
      <c r="A84" s="22">
        <f t="shared" si="16"/>
        <v>102</v>
      </c>
      <c r="B84" s="28">
        <f>IF(A84&gt;200,"",IF($C$1='Adj-Mixed'!$A$21,VLOOKUP(A84,'337'!$A$6:$AB$188,4,FALSE),IF($C$1='Adj-Mixed'!$A$20,VLOOKUP(A84,'337'!$A$6:$AB$188,13,FALSE),IF($C$1='Adj-Mixed'!$A$19,VLOOKUP(A84,'337'!$A$6:$AB$188,22,FALSE)))))</f>
        <v>57.073803784612991</v>
      </c>
      <c r="C84" s="26">
        <f t="shared" si="17"/>
        <v>953.95872080894151</v>
      </c>
      <c r="D84" s="27">
        <f t="shared" si="18"/>
        <v>0.4479187528068917</v>
      </c>
      <c r="E84" s="27">
        <f>IF(A84&gt;200,"",IF($C$1='Adj-Mixed'!$A$21,VLOOKUP(A84,'337'!$A$7:$AB$188,10,FALSE),IF($C$1='Adj-Mixed'!$A$20,VLOOKUP(A84,'337'!$A$7:$AB$188,19,FALSE),IF($C$1='Adj-Mixed'!$A$19,VLOOKUP(A84,'337'!$A$7:$AB$188,28,FALSE)))))</f>
        <v>2.2325477416015298</v>
      </c>
      <c r="F84" s="27">
        <f>IF(A84&gt;200,"",IF($C$1='Adj-Mixed'!$A$21,VLOOKUP(A84,'337'!$A$7:$AB$188,7,FALSE),IF($C$1='Adj-Mixed'!$A$20,VLOOKUP(A84,'337'!$A$7:$AB$188,16,FALSE),IF($C$1='Adj-Mixed'!$A$19,VLOOKUP(A84,'337'!$A$7:$AB$188,25,FALSE)))))</f>
        <v>2.132712008922284</v>
      </c>
      <c r="G84" s="27">
        <f t="shared" si="20"/>
        <v>88.913756907652996</v>
      </c>
      <c r="H84" s="1"/>
      <c r="I84" s="136">
        <f t="shared" si="13"/>
        <v>62.372115503124206</v>
      </c>
      <c r="J84" s="26">
        <f>IF(A84&gt;200,"",(C84*'Adj-Mixed'!$C$6))</f>
        <v>1051.6292197362711</v>
      </c>
      <c r="K84" s="27">
        <f>IF(A84&gt;200,"",D84*'Adj-Mixed'!$C$7)</f>
        <v>0.39766659466510446</v>
      </c>
      <c r="L84" s="1">
        <f t="shared" si="14"/>
        <v>2.5146693572341716</v>
      </c>
      <c r="M84" s="27">
        <f t="shared" si="15"/>
        <v>2.6444997740428819</v>
      </c>
      <c r="N84" s="122">
        <f t="shared" si="19"/>
        <v>110.37019378513962</v>
      </c>
    </row>
    <row r="85" spans="1:14" x14ac:dyDescent="0.25">
      <c r="A85" s="22">
        <f t="shared" si="16"/>
        <v>103</v>
      </c>
      <c r="B85" s="28">
        <f>IF(A85&gt;200,"",IF($C$1='Adj-Mixed'!$A$21,VLOOKUP(A85,'337'!$A$6:$AB$188,4,FALSE),IF($C$1='Adj-Mixed'!$A$20,VLOOKUP(A85,'337'!$A$6:$AB$188,13,FALSE),IF($C$1='Adj-Mixed'!$A$19,VLOOKUP(A85,'337'!$A$6:$AB$188,22,FALSE)))))</f>
        <v>58.031160487620582</v>
      </c>
      <c r="C85" s="26">
        <f t="shared" si="17"/>
        <v>957.35670300759068</v>
      </c>
      <c r="D85" s="27">
        <f t="shared" si="18"/>
        <v>0.44523727415229125</v>
      </c>
      <c r="E85" s="27">
        <f>IF(A85&gt;200,"",IF($C$1='Adj-Mixed'!$A$21,VLOOKUP(A85,'337'!$A$7:$AB$188,10,FALSE),IF($C$1='Adj-Mixed'!$A$20,VLOOKUP(A85,'337'!$A$7:$AB$188,19,FALSE),IF($C$1='Adj-Mixed'!$A$19,VLOOKUP(A85,'337'!$A$7:$AB$188,28,FALSE)))))</f>
        <v>2.245993446761501</v>
      </c>
      <c r="F85" s="27">
        <f>IF(A85&gt;200,"",IF($C$1='Adj-Mixed'!$A$21,VLOOKUP(A85,'337'!$A$7:$AB$188,7,FALSE),IF($C$1='Adj-Mixed'!$A$20,VLOOKUP(A85,'337'!$A$7:$AB$188,16,FALSE),IF($C$1='Adj-Mixed'!$A$19,VLOOKUP(A85,'337'!$A$7:$AB$188,25,FALSE)))))</f>
        <v>2.1533020954891731</v>
      </c>
      <c r="G85" s="27">
        <f t="shared" si="20"/>
        <v>91.067059003142163</v>
      </c>
      <c r="H85" s="1"/>
      <c r="I85" s="136">
        <f t="shared" si="13"/>
        <v>63.427490605455077</v>
      </c>
      <c r="J85" s="26">
        <f>IF(A85&gt;200,"",(C85*'Adj-Mixed'!$C$6))</f>
        <v>1055.3751023308691</v>
      </c>
      <c r="K85" s="27">
        <f>IF(A85&gt;200,"",D85*'Adj-Mixed'!$C$7)</f>
        <v>0.39528595201828531</v>
      </c>
      <c r="L85" s="1">
        <f t="shared" si="14"/>
        <v>2.5298141633774569</v>
      </c>
      <c r="M85" s="27">
        <f t="shared" si="15"/>
        <v>2.6699028815525656</v>
      </c>
      <c r="N85" s="122">
        <f t="shared" si="19"/>
        <v>113.04009666669218</v>
      </c>
    </row>
    <row r="86" spans="1:14" x14ac:dyDescent="0.25">
      <c r="A86" s="22">
        <f t="shared" si="16"/>
        <v>104</v>
      </c>
      <c r="B86" s="28">
        <f>IF(A86&gt;200,"",IF($C$1='Adj-Mixed'!$A$21,VLOOKUP(A86,'337'!$A$6:$AB$188,4,FALSE),IF($C$1='Adj-Mixed'!$A$20,VLOOKUP(A86,'337'!$A$6:$AB$188,13,FALSE),IF($C$1='Adj-Mixed'!$A$19,VLOOKUP(A86,'337'!$A$6:$AB$188,22,FALSE)))))</f>
        <v>58.991766795890953</v>
      </c>
      <c r="C86" s="26">
        <f t="shared" si="17"/>
        <v>960.6063082703713</v>
      </c>
      <c r="D86" s="27">
        <f t="shared" si="18"/>
        <v>0.44261447561702211</v>
      </c>
      <c r="E86" s="27">
        <f>IF(A86&gt;200,"",IF($C$1='Adj-Mixed'!$A$21,VLOOKUP(A86,'337'!$A$7:$AB$188,10,FALSE),IF($C$1='Adj-Mixed'!$A$20,VLOOKUP(A86,'337'!$A$7:$AB$188,19,FALSE),IF($C$1='Adj-Mixed'!$A$19,VLOOKUP(A86,'337'!$A$7:$AB$188,28,FALSE)))))</f>
        <v>2.259302519661067</v>
      </c>
      <c r="F86" s="27">
        <f>IF(A86&gt;200,"",IF($C$1='Adj-Mixed'!$A$21,VLOOKUP(A86,'337'!$A$7:$AB$188,7,FALSE),IF($C$1='Adj-Mixed'!$A$20,VLOOKUP(A86,'337'!$A$7:$AB$188,16,FALSE),IF($C$1='Adj-Mixed'!$A$19,VLOOKUP(A86,'337'!$A$7:$AB$188,25,FALSE)))))</f>
        <v>2.1735110089366572</v>
      </c>
      <c r="G86" s="27">
        <f t="shared" si="20"/>
        <v>93.24057001207882</v>
      </c>
      <c r="H86" s="1"/>
      <c r="I86" s="136">
        <f t="shared" si="13"/>
        <v>64.48644802195993</v>
      </c>
      <c r="J86" s="26">
        <f>IF(A86&gt;200,"",(C86*'Adj-Mixed'!$C$6))</f>
        <v>1058.9574165048525</v>
      </c>
      <c r="K86" s="27">
        <f>IF(A86&gt;200,"",D86*'Adj-Mixed'!$C$7)</f>
        <v>0.39295740614813113</v>
      </c>
      <c r="L86" s="1">
        <f t="shared" si="14"/>
        <v>2.5448050713746699</v>
      </c>
      <c r="M86" s="27">
        <f t="shared" si="15"/>
        <v>2.6948402038913675</v>
      </c>
      <c r="N86" s="122">
        <f t="shared" si="19"/>
        <v>115.73493687058355</v>
      </c>
    </row>
    <row r="87" spans="1:14" x14ac:dyDescent="0.25">
      <c r="A87" s="22">
        <f t="shared" si="16"/>
        <v>105</v>
      </c>
      <c r="B87" s="28">
        <f>IF(A87&gt;200,"",IF($C$1='Adj-Mixed'!$A$21,VLOOKUP(A87,'337'!$A$6:$AB$188,4,FALSE),IF($C$1='Adj-Mixed'!$A$20,VLOOKUP(A87,'337'!$A$6:$AB$188,13,FALSE),IF($C$1='Adj-Mixed'!$A$19,VLOOKUP(A87,'337'!$A$6:$AB$188,22,FALSE)))))</f>
        <v>59.955475402471635</v>
      </c>
      <c r="C87" s="26">
        <f t="shared" si="17"/>
        <v>963.70860658068125</v>
      </c>
      <c r="D87" s="27">
        <f t="shared" si="18"/>
        <v>0.44004788615107415</v>
      </c>
      <c r="E87" s="27">
        <f>IF(A87&gt;200,"",IF($C$1='Adj-Mixed'!$A$21,VLOOKUP(A87,'337'!$A$7:$AB$188,10,FALSE),IF($C$1='Adj-Mixed'!$A$20,VLOOKUP(A87,'337'!$A$7:$AB$188,19,FALSE),IF($C$1='Adj-Mixed'!$A$19,VLOOKUP(A87,'337'!$A$7:$AB$188,28,FALSE)))))</f>
        <v>2.2724799538218599</v>
      </c>
      <c r="F87" s="27">
        <f>IF(A87&gt;200,"",IF($C$1='Adj-Mixed'!$A$21,VLOOKUP(A87,'337'!$A$7:$AB$188,7,FALSE),IF($C$1='Adj-Mixed'!$A$20,VLOOKUP(A87,'337'!$A$7:$AB$188,16,FALSE),IF($C$1='Adj-Mixed'!$A$19,VLOOKUP(A87,'337'!$A$7:$AB$188,25,FALSE)))))</f>
        <v>2.1933386045837873</v>
      </c>
      <c r="G87" s="27">
        <f t="shared" si="20"/>
        <v>95.433908616662606</v>
      </c>
      <c r="H87" s="1"/>
      <c r="I87" s="136">
        <f t="shared" si="13"/>
        <v>65.548825363751163</v>
      </c>
      <c r="J87" s="26">
        <f>IF(A87&gt;200,"",(C87*'Adj-Mixed'!$C$6))</f>
        <v>1062.3773417912357</v>
      </c>
      <c r="K87" s="27">
        <f>IF(A87&gt;200,"",D87*'Adj-Mixed'!$C$7)</f>
        <v>0.39067876323257789</v>
      </c>
      <c r="L87" s="1">
        <f t="shared" si="14"/>
        <v>2.5596477057665981</v>
      </c>
      <c r="M87" s="27">
        <f t="shared" si="15"/>
        <v>2.7193117255743533</v>
      </c>
      <c r="N87" s="122">
        <f t="shared" si="19"/>
        <v>118.45424859615791</v>
      </c>
    </row>
    <row r="88" spans="1:14" x14ac:dyDescent="0.25">
      <c r="A88" s="22">
        <f t="shared" si="16"/>
        <v>106</v>
      </c>
      <c r="B88" s="28">
        <f>IF(A88&gt;200,"",IF($C$1='Adj-Mixed'!$A$21,VLOOKUP(A88,'337'!$A$6:$AB$188,4,FALSE),IF($C$1='Adj-Mixed'!$A$20,VLOOKUP(A88,'337'!$A$6:$AB$188,13,FALSE),IF($C$1='Adj-Mixed'!$A$19,VLOOKUP(A88,'337'!$A$6:$AB$188,22,FALSE)))))</f>
        <v>60.922140116739754</v>
      </c>
      <c r="C88" s="26">
        <f t="shared" si="17"/>
        <v>966.66471426811995</v>
      </c>
      <c r="D88" s="27">
        <f t="shared" si="18"/>
        <v>0.43753511226145986</v>
      </c>
      <c r="E88" s="27">
        <f>IF(A88&gt;200,"",IF($C$1='Adj-Mixed'!$A$21,VLOOKUP(A88,'337'!$A$7:$AB$188,10,FALSE),IF($C$1='Adj-Mixed'!$A$20,VLOOKUP(A88,'337'!$A$7:$AB$188,19,FALSE),IF($C$1='Adj-Mixed'!$A$19,VLOOKUP(A88,'337'!$A$7:$AB$188,28,FALSE)))))</f>
        <v>2.285530856783959</v>
      </c>
      <c r="F88" s="27">
        <f>IF(A88&gt;200,"",IF($C$1='Adj-Mixed'!$A$21,VLOOKUP(A88,'337'!$A$7:$AB$188,7,FALSE),IF($C$1='Adj-Mixed'!$A$20,VLOOKUP(A88,'337'!$A$7:$AB$188,16,FALSE),IF($C$1='Adj-Mixed'!$A$19,VLOOKUP(A88,'337'!$A$7:$AB$188,25,FALSE)))))</f>
        <v>2.2127852161662394</v>
      </c>
      <c r="G88" s="27">
        <f t="shared" si="20"/>
        <v>97.646693832828845</v>
      </c>
      <c r="H88" s="1"/>
      <c r="I88" s="136">
        <f t="shared" si="13"/>
        <v>66.614461472565523</v>
      </c>
      <c r="J88" s="26">
        <f>IF(A88&gt;200,"",(C88*'Adj-Mixed'!$C$6))</f>
        <v>1065.6361088143638</v>
      </c>
      <c r="K88" s="27">
        <f>IF(A88&gt;200,"",D88*'Adj-Mixed'!$C$7)</f>
        <v>0.38844789830543541</v>
      </c>
      <c r="L88" s="1">
        <f t="shared" si="14"/>
        <v>2.5743478195207095</v>
      </c>
      <c r="M88" s="27">
        <f t="shared" si="15"/>
        <v>2.743317993128791</v>
      </c>
      <c r="N88" s="122">
        <f t="shared" si="19"/>
        <v>121.19756658928671</v>
      </c>
    </row>
    <row r="89" spans="1:14" x14ac:dyDescent="0.25">
      <c r="A89" s="22">
        <f t="shared" si="16"/>
        <v>107</v>
      </c>
      <c r="B89" s="28">
        <f>IF(A89&gt;200,"",IF($C$1='Adj-Mixed'!$A$21,VLOOKUP(A89,'337'!$A$6:$AB$188,4,FALSE),IF($C$1='Adj-Mixed'!$A$20,VLOOKUP(A89,'337'!$A$6:$AB$188,13,FALSE),IF($C$1='Adj-Mixed'!$A$19,VLOOKUP(A89,'337'!$A$6:$AB$188,22,FALSE)))))</f>
        <v>61.891615909041029</v>
      </c>
      <c r="C89" s="26">
        <f t="shared" si="17"/>
        <v>969.4757923012744</v>
      </c>
      <c r="D89" s="27">
        <f t="shared" si="18"/>
        <v>0.4350738361885646</v>
      </c>
      <c r="E89" s="27">
        <f>IF(A89&gt;200,"",IF($C$1='Adj-Mixed'!$A$21,VLOOKUP(A89,'337'!$A$7:$AB$188,10,FALSE),IF($C$1='Adj-Mixed'!$A$20,VLOOKUP(A89,'337'!$A$7:$AB$188,19,FALSE),IF($C$1='Adj-Mixed'!$A$19,VLOOKUP(A89,'337'!$A$7:$AB$188,28,FALSE)))))</f>
        <v>2.2984604377970266</v>
      </c>
      <c r="F89" s="27">
        <f>IF(A89&gt;200,"",IF($C$1='Adj-Mixed'!$A$21,VLOOKUP(A89,'337'!$A$7:$AB$188,7,FALSE),IF($C$1='Adj-Mixed'!$A$20,VLOOKUP(A89,'337'!$A$7:$AB$188,16,FALSE),IF($C$1='Adj-Mixed'!$A$19,VLOOKUP(A89,'337'!$A$7:$AB$188,25,FALSE)))))</f>
        <v>2.2318516350441144</v>
      </c>
      <c r="G89" s="27">
        <f t="shared" si="20"/>
        <v>99.878545467872954</v>
      </c>
      <c r="H89" s="1"/>
      <c r="I89" s="136">
        <f t="shared" si="13"/>
        <v>67.683196469973424</v>
      </c>
      <c r="J89" s="26">
        <f>IF(A89&gt;200,"",(C89*'Adj-Mixed'!$C$6))</f>
        <v>1068.734997407905</v>
      </c>
      <c r="K89" s="27">
        <f>IF(A89&gt;200,"",D89*'Adj-Mixed'!$C$7)</f>
        <v>0.3862627536373332</v>
      </c>
      <c r="L89" s="1">
        <f t="shared" si="14"/>
        <v>2.5889112801668479</v>
      </c>
      <c r="M89" s="27">
        <f t="shared" si="15"/>
        <v>2.7668600902984122</v>
      </c>
      <c r="N89" s="122">
        <f t="shared" si="19"/>
        <v>123.96442667958512</v>
      </c>
    </row>
    <row r="90" spans="1:14" x14ac:dyDescent="0.25">
      <c r="A90" s="22">
        <f t="shared" si="16"/>
        <v>108</v>
      </c>
      <c r="B90" s="28">
        <f>IF(A90&gt;200,"",IF($C$1='Adj-Mixed'!$A$21,VLOOKUP(A90,'337'!$A$6:$AB$188,4,FALSE),IF($C$1='Adj-Mixed'!$A$20,VLOOKUP(A90,'337'!$A$6:$AB$188,13,FALSE),IF($C$1='Adj-Mixed'!$A$19,VLOOKUP(A90,'337'!$A$6:$AB$188,22,FALSE)))))</f>
        <v>62.863758953624867</v>
      </c>
      <c r="C90" s="26">
        <f t="shared" si="17"/>
        <v>972.14304458383799</v>
      </c>
      <c r="D90" s="27">
        <f t="shared" si="18"/>
        <v>0.43266181414232885</v>
      </c>
      <c r="E90" s="27">
        <f>IF(A90&gt;200,"",IF($C$1='Adj-Mixed'!$A$21,VLOOKUP(A90,'337'!$A$7:$AB$188,10,FALSE),IF($C$1='Adj-Mixed'!$A$20,VLOOKUP(A90,'337'!$A$7:$AB$188,19,FALSE),IF($C$1='Adj-Mixed'!$A$19,VLOOKUP(A90,'337'!$A$7:$AB$188,28,FALSE)))))</f>
        <v>2.3112739957934885</v>
      </c>
      <c r="F90" s="27">
        <f>IF(A90&gt;200,"",IF($C$1='Adj-Mixed'!$A$21,VLOOKUP(A90,'337'!$A$7:$AB$188,7,FALSE),IF($C$1='Adj-Mixed'!$A$20,VLOOKUP(A90,'337'!$A$7:$AB$188,16,FALSE),IF($C$1='Adj-Mixed'!$A$19,VLOOKUP(A90,'337'!$A$7:$AB$188,25,FALSE)))))</f>
        <v>2.2505390890698189</v>
      </c>
      <c r="G90" s="27">
        <f t="shared" si="20"/>
        <v>102.12908455694277</v>
      </c>
      <c r="H90" s="1"/>
      <c r="I90" s="136">
        <f t="shared" si="13"/>
        <v>68.75487180470995</v>
      </c>
      <c r="J90" s="26">
        <f>IF(A90&gt;200,"",(C90*'Adj-Mixed'!$C$6))</f>
        <v>1071.6753347365197</v>
      </c>
      <c r="K90" s="27">
        <f>IF(A90&gt;200,"",D90*'Adj-Mixed'!$C$7)</f>
        <v>0.38412133716978636</v>
      </c>
      <c r="L90" s="1">
        <f t="shared" si="14"/>
        <v>2.6033440562506103</v>
      </c>
      <c r="M90" s="27">
        <f t="shared" si="15"/>
        <v>2.7899396129167022</v>
      </c>
      <c r="N90" s="122">
        <f t="shared" si="19"/>
        <v>126.75436629250181</v>
      </c>
    </row>
    <row r="91" spans="1:14" x14ac:dyDescent="0.25">
      <c r="A91" s="22">
        <f t="shared" si="16"/>
        <v>109</v>
      </c>
      <c r="B91" s="28">
        <f>IF(A91&gt;200,"",IF($C$1='Adj-Mixed'!$A$21,VLOOKUP(A91,'337'!$A$6:$AB$188,4,FALSE),IF($C$1='Adj-Mixed'!$A$20,VLOOKUP(A91,'337'!$A$6:$AB$188,13,FALSE),IF($C$1='Adj-Mixed'!$A$19,VLOOKUP(A91,'337'!$A$6:$AB$188,22,FALSE)))))</f>
        <v>63.838426669879802</v>
      </c>
      <c r="C91" s="26">
        <f t="shared" si="17"/>
        <v>974.6677162549347</v>
      </c>
      <c r="D91" s="27">
        <f t="shared" si="18"/>
        <v>0.43029687459416283</v>
      </c>
      <c r="E91" s="27">
        <f>IF(A91&gt;200,"",IF($C$1='Adj-Mixed'!$A$21,VLOOKUP(A91,'337'!$A$7:$AB$188,10,FALSE),IF($C$1='Adj-Mixed'!$A$20,VLOOKUP(A91,'337'!$A$7:$AB$188,19,FALSE),IF($C$1='Adj-Mixed'!$A$19,VLOOKUP(A91,'337'!$A$7:$AB$188,28,FALSE)))))</f>
        <v>2.323976907671375</v>
      </c>
      <c r="F91" s="27">
        <f>IF(A91&gt;200,"",IF($C$1='Adj-Mixed'!$A$21,VLOOKUP(A91,'337'!$A$7:$AB$188,7,FALSE),IF($C$1='Adj-Mixed'!$A$20,VLOOKUP(A91,'337'!$A$7:$AB$188,16,FALSE),IF($C$1='Adj-Mixed'!$A$19,VLOOKUP(A91,'337'!$A$7:$AB$188,25,FALSE)))))</f>
        <v>2.2688492212138383</v>
      </c>
      <c r="G91" s="27">
        <f t="shared" si="20"/>
        <v>104.39793377815661</v>
      </c>
      <c r="H91" s="1"/>
      <c r="I91" s="136">
        <f t="shared" si="13"/>
        <v>69.82933029813212</v>
      </c>
      <c r="J91" s="26">
        <f>IF(A91&gt;200,"",(C91*'Adj-Mixed'!$C$6))</f>
        <v>1074.4584934221643</v>
      </c>
      <c r="K91" s="27">
        <f>IF(A91&gt;200,"",D91*'Adj-Mixed'!$C$7)</f>
        <v>0.38202172099874054</v>
      </c>
      <c r="L91" s="1">
        <f t="shared" si="14"/>
        <v>2.6176522041355255</v>
      </c>
      <c r="M91" s="27">
        <f t="shared" si="15"/>
        <v>2.8125586435586647</v>
      </c>
      <c r="N91" s="122">
        <f t="shared" si="19"/>
        <v>129.56692493606047</v>
      </c>
    </row>
    <row r="92" spans="1:14" x14ac:dyDescent="0.25">
      <c r="A92" s="22">
        <f t="shared" si="16"/>
        <v>110</v>
      </c>
      <c r="B92" s="28">
        <f>IF(A92&gt;200,"",IF($C$1='Adj-Mixed'!$A$21,VLOOKUP(A92,'337'!$A$6:$AB$188,4,FALSE),IF($C$1='Adj-Mixed'!$A$20,VLOOKUP(A92,'337'!$A$6:$AB$188,13,FALSE),IF($C$1='Adj-Mixed'!$A$19,VLOOKUP(A92,'337'!$A$6:$AB$188,22,FALSE)))))</f>
        <v>64.815477761876735</v>
      </c>
      <c r="C92" s="26">
        <f t="shared" si="17"/>
        <v>977.05109199693402</v>
      </c>
      <c r="D92" s="27">
        <f t="shared" si="18"/>
        <v>0.42797691662149895</v>
      </c>
      <c r="E92" s="27">
        <f>IF(A92&gt;200,"",IF($C$1='Adj-Mixed'!$A$21,VLOOKUP(A92,'337'!$A$7:$AB$188,10,FALSE),IF($C$1='Adj-Mixed'!$A$20,VLOOKUP(A92,'337'!$A$7:$AB$188,19,FALSE),IF($C$1='Adj-Mixed'!$A$19,VLOOKUP(A92,'337'!$A$7:$AB$188,28,FALSE)))))</f>
        <v>2.3365746169071917</v>
      </c>
      <c r="F92" s="27">
        <f>IF(A92&gt;200,"",IF($C$1='Adj-Mixed'!$A$21,VLOOKUP(A92,'337'!$A$7:$AB$188,7,FALSE),IF($C$1='Adj-Mixed'!$A$20,VLOOKUP(A92,'337'!$A$7:$AB$188,16,FALSE),IF($C$1='Adj-Mixed'!$A$19,VLOOKUP(A92,'337'!$A$7:$AB$188,25,FALSE)))))</f>
        <v>2.2867840680419285</v>
      </c>
      <c r="G92" s="27">
        <f t="shared" si="20"/>
        <v>106.68471784619854</v>
      </c>
      <c r="H92" s="1"/>
      <c r="I92" s="136">
        <f t="shared" si="13"/>
        <v>70.906416187810777</v>
      </c>
      <c r="J92" s="26">
        <f>IF(A92&gt;200,"",(C92*'Adj-Mixed'!$C$6))</f>
        <v>1077.0858896786517</v>
      </c>
      <c r="K92" s="27">
        <f>IF(A92&gt;200,"",D92*'Adj-Mixed'!$C$7)</f>
        <v>0.37996203990485</v>
      </c>
      <c r="L92" s="1">
        <f t="shared" si="14"/>
        <v>2.6318418551769533</v>
      </c>
      <c r="M92" s="27">
        <f t="shared" si="15"/>
        <v>2.834719726076782</v>
      </c>
      <c r="N92" s="122">
        <f t="shared" si="19"/>
        <v>132.40164466213724</v>
      </c>
    </row>
    <row r="93" spans="1:14" x14ac:dyDescent="0.25">
      <c r="A93" s="22">
        <f t="shared" si="16"/>
        <v>111</v>
      </c>
      <c r="B93" s="28">
        <f>IF(A93&gt;200,"",IF($C$1='Adj-Mixed'!$A$21,VLOOKUP(A93,'337'!$A$6:$AB$188,4,FALSE),IF($C$1='Adj-Mixed'!$A$20,VLOOKUP(A93,'337'!$A$6:$AB$188,13,FALSE),IF($C$1='Adj-Mixed'!$A$19,VLOOKUP(A93,'337'!$A$6:$AB$188,22,FALSE)))))</f>
        <v>65.794772256227816</v>
      </c>
      <c r="C93" s="26">
        <f t="shared" si="17"/>
        <v>979.2944943510804</v>
      </c>
      <c r="D93" s="27">
        <f t="shared" si="18"/>
        <v>0.42569990830099658</v>
      </c>
      <c r="E93" s="27">
        <f>IF(A93&gt;200,"",IF($C$1='Adj-Mixed'!$A$21,VLOOKUP(A93,'337'!$A$7:$AB$188,10,FALSE),IF($C$1='Adj-Mixed'!$A$20,VLOOKUP(A93,'337'!$A$7:$AB$188,19,FALSE),IF($C$1='Adj-Mixed'!$A$19,VLOOKUP(A93,'337'!$A$7:$AB$188,28,FALSE)))))</f>
        <v>2.3490726225220073</v>
      </c>
      <c r="F93" s="27">
        <f>IF(A93&gt;200,"",IF($C$1='Adj-Mixed'!$A$21,VLOOKUP(A93,'337'!$A$7:$AB$188,7,FALSE),IF($C$1='Adj-Mixed'!$A$20,VLOOKUP(A93,'337'!$A$7:$AB$188,16,FALSE),IF($C$1='Adj-Mixed'!$A$19,VLOOKUP(A93,'337'!$A$7:$AB$188,25,FALSE)))))</f>
        <v>2.3043460381327256</v>
      </c>
      <c r="G93" s="27">
        <f t="shared" si="20"/>
        <v>108.98906388433126</v>
      </c>
      <c r="H93" s="1"/>
      <c r="I93" s="136">
        <f t="shared" si="13"/>
        <v>71.9859751692656</v>
      </c>
      <c r="J93" s="26">
        <f>IF(A93&gt;200,"",(C93*'Adj-Mixed'!$C$6))</f>
        <v>1079.5589814548293</v>
      </c>
      <c r="K93" s="27">
        <f>IF(A93&gt;200,"",D93*'Adj-Mixed'!$C$7)</f>
        <v>0.37794048992694884</v>
      </c>
      <c r="L93" s="1">
        <f t="shared" si="14"/>
        <v>2.6459192032938503</v>
      </c>
      <c r="M93" s="27">
        <f t="shared" si="15"/>
        <v>2.8564258401196829</v>
      </c>
      <c r="N93" s="122">
        <f t="shared" si="19"/>
        <v>135.25807050225691</v>
      </c>
    </row>
    <row r="94" spans="1:14" x14ac:dyDescent="0.25">
      <c r="A94" s="22">
        <f t="shared" si="16"/>
        <v>112</v>
      </c>
      <c r="B94" s="28">
        <f>IF(A94&gt;200,"",IF($C$1='Adj-Mixed'!$A$21,VLOOKUP(A94,'337'!$A$6:$AB$188,4,FALSE),IF($C$1='Adj-Mixed'!$A$20,VLOOKUP(A94,'337'!$A$6:$AB$188,13,FALSE),IF($C$1='Adj-Mixed'!$A$19,VLOOKUP(A94,'337'!$A$6:$AB$188,22,FALSE)))))</f>
        <v>66.776171538271058</v>
      </c>
      <c r="C94" s="26">
        <f t="shared" si="17"/>
        <v>981.39928204324178</v>
      </c>
      <c r="D94" s="27">
        <f t="shared" si="18"/>
        <v>0.42346388514716682</v>
      </c>
      <c r="E94" s="27">
        <f>IF(A94&gt;200,"",IF($C$1='Adj-Mixed'!$A$21,VLOOKUP(A94,'337'!$A$7:$AB$188,10,FALSE),IF($C$1='Adj-Mixed'!$A$20,VLOOKUP(A94,'337'!$A$7:$AB$188,19,FALSE),IF($C$1='Adj-Mixed'!$A$19,VLOOKUP(A94,'337'!$A$7:$AB$188,28,FALSE)))))</f>
        <v>2.361476468418243</v>
      </c>
      <c r="F94" s="27">
        <f>IF(A94&gt;200,"",IF($C$1='Adj-Mixed'!$A$21,VLOOKUP(A94,'337'!$A$7:$AB$188,7,FALSE),IF($C$1='Adj-Mixed'!$A$20,VLOOKUP(A94,'337'!$A$7:$AB$188,16,FALSE),IF($C$1='Adj-Mixed'!$A$19,VLOOKUP(A94,'337'!$A$7:$AB$188,25,FALSE)))))</f>
        <v>2.3215378905199944</v>
      </c>
      <c r="G94" s="27">
        <f t="shared" si="20"/>
        <v>111.31060177485125</v>
      </c>
      <c r="H94" s="1"/>
      <c r="I94" s="136">
        <f t="shared" si="13"/>
        <v>73.067854435854514</v>
      </c>
      <c r="J94" s="26">
        <f>IF(A94&gt;200,"",(C94*'Adj-Mixed'!$C$6))</f>
        <v>1081.8792665889086</v>
      </c>
      <c r="K94" s="27">
        <f>IF(A94&gt;200,"",D94*'Adj-Mixed'!$C$7)</f>
        <v>0.37595532697584738</v>
      </c>
      <c r="L94" s="1">
        <f t="shared" si="14"/>
        <v>2.6598904929580724</v>
      </c>
      <c r="M94" s="27">
        <f t="shared" si="15"/>
        <v>2.8776803757282896</v>
      </c>
      <c r="N94" s="122">
        <f t="shared" si="19"/>
        <v>138.1357508779852</v>
      </c>
    </row>
    <row r="95" spans="1:14" x14ac:dyDescent="0.25">
      <c r="A95" s="22">
        <f t="shared" si="16"/>
        <v>113</v>
      </c>
      <c r="B95" s="28">
        <f>IF(A95&gt;200,"",IF($C$1='Adj-Mixed'!$A$21,VLOOKUP(A95,'337'!$A$6:$AB$188,4,FALSE),IF($C$1='Adj-Mixed'!$A$20,VLOOKUP(A95,'337'!$A$6:$AB$188,13,FALSE),IF($C$1='Adj-Mixed'!$A$19,VLOOKUP(A95,'337'!$A$6:$AB$188,22,FALSE)))))</f>
        <v>67.759538386592553</v>
      </c>
      <c r="C95" s="26">
        <f t="shared" si="17"/>
        <v>983.36684832149501</v>
      </c>
      <c r="D95" s="27">
        <f t="shared" si="18"/>
        <v>0.42126694859329994</v>
      </c>
      <c r="E95" s="27">
        <f>IF(A95&gt;200,"",IF($C$1='Adj-Mixed'!$A$21,VLOOKUP(A95,'337'!$A$7:$AB$188,10,FALSE),IF($C$1='Adj-Mixed'!$A$20,VLOOKUP(A95,'337'!$A$7:$AB$188,19,FALSE),IF($C$1='Adj-Mixed'!$A$19,VLOOKUP(A95,'337'!$A$7:$AB$188,28,FALSE)))))</f>
        <v>2.3737917331022835</v>
      </c>
      <c r="F95" s="27">
        <f>IF(A95&gt;200,"",IF($C$1='Adj-Mixed'!$A$21,VLOOKUP(A95,'337'!$A$7:$AB$188,7,FALSE),IF($C$1='Adj-Mixed'!$A$20,VLOOKUP(A95,'337'!$A$7:$AB$188,16,FALSE),IF($C$1='Adj-Mixed'!$A$19,VLOOKUP(A95,'337'!$A$7:$AB$188,25,FALSE)))))</f>
        <v>2.3383627132386824</v>
      </c>
      <c r="G95" s="27">
        <f t="shared" si="20"/>
        <v>113.64896448808993</v>
      </c>
      <c r="H95" s="1"/>
      <c r="I95" s="136">
        <f t="shared" si="13"/>
        <v>74.151902716830364</v>
      </c>
      <c r="J95" s="26">
        <f>IF(A95&gt;200,"",(C95*'Adj-Mixed'!$C$6))</f>
        <v>1084.0482809758457</v>
      </c>
      <c r="K95" s="27">
        <f>IF(A95&gt;200,"",D95*'Adj-Mixed'!$C$7)</f>
        <v>0.37400486548568473</v>
      </c>
      <c r="L95" s="1">
        <f t="shared" si="14"/>
        <v>2.6737620076182553</v>
      </c>
      <c r="M95" s="27">
        <f t="shared" si="15"/>
        <v>2.8984871080970964</v>
      </c>
      <c r="N95" s="122">
        <f t="shared" si="19"/>
        <v>141.0342379860823</v>
      </c>
    </row>
    <row r="96" spans="1:14" x14ac:dyDescent="0.25">
      <c r="A96" s="22">
        <f t="shared" si="16"/>
        <v>114</v>
      </c>
      <c r="B96" s="28">
        <f>IF(A96&gt;200,"",IF($C$1='Adj-Mixed'!$A$21,VLOOKUP(A96,'337'!$A$6:$AB$188,4,FALSE),IF($C$1='Adj-Mixed'!$A$20,VLOOKUP(A96,'337'!$A$6:$AB$188,13,FALSE),IF($C$1='Adj-Mixed'!$A$19,VLOOKUP(A96,'337'!$A$6:$AB$188,22,FALSE)))))</f>
        <v>68.744737005898997</v>
      </c>
      <c r="C96" s="26">
        <f t="shared" si="17"/>
        <v>985.19861930644481</v>
      </c>
      <c r="D96" s="27">
        <f t="shared" si="18"/>
        <v>0.41910726451128971</v>
      </c>
      <c r="E96" s="27">
        <f>IF(A96&gt;200,"",IF($C$1='Adj-Mixed'!$A$21,VLOOKUP(A96,'337'!$A$7:$AB$188,10,FALSE),IF($C$1='Adj-Mixed'!$A$20,VLOOKUP(A96,'337'!$A$7:$AB$188,19,FALSE),IF($C$1='Adj-Mixed'!$A$19,VLOOKUP(A96,'337'!$A$7:$AB$188,28,FALSE)))))</f>
        <v>2.3860240198080902</v>
      </c>
      <c r="F96" s="27">
        <f>IF(A96&gt;200,"",IF($C$1='Adj-Mixed'!$A$21,VLOOKUP(A96,'337'!$A$7:$AB$188,7,FALSE),IF($C$1='Adj-Mixed'!$A$20,VLOOKUP(A96,'337'!$A$7:$AB$188,16,FALSE),IF($C$1='Adj-Mixed'!$A$19,VLOOKUP(A96,'337'!$A$7:$AB$188,25,FALSE)))))</f>
        <v>2.3548239020488744</v>
      </c>
      <c r="G96" s="27">
        <f t="shared" si="20"/>
        <v>116.00378839013881</v>
      </c>
      <c r="H96" s="1"/>
      <c r="I96" s="136">
        <f t="shared" si="13"/>
        <v>75.237970313579126</v>
      </c>
      <c r="J96" s="26">
        <f>IF(A96&gt;200,"",(C96*'Adj-Mixed'!$C$6))</f>
        <v>1086.0675967487598</v>
      </c>
      <c r="K96" s="27">
        <f>IF(A96&gt;200,"",D96*'Adj-Mixed'!$C$7)</f>
        <v>0.37208747709981443</v>
      </c>
      <c r="L96" s="1">
        <f t="shared" si="14"/>
        <v>2.6875400585753781</v>
      </c>
      <c r="M96" s="27">
        <f t="shared" si="15"/>
        <v>2.9188501725829825</v>
      </c>
      <c r="N96" s="122">
        <f t="shared" si="19"/>
        <v>143.95308815866528</v>
      </c>
    </row>
    <row r="97" spans="1:14" x14ac:dyDescent="0.25">
      <c r="A97" s="22">
        <f t="shared" si="16"/>
        <v>115</v>
      </c>
      <c r="B97" s="28">
        <f>IF(A97&gt;200,"",IF($C$1='Adj-Mixed'!$A$21,VLOOKUP(A97,'337'!$A$6:$AB$188,4,FALSE),IF($C$1='Adj-Mixed'!$A$20,VLOOKUP(A97,'337'!$A$6:$AB$188,13,FALSE),IF($C$1='Adj-Mixed'!$A$19,VLOOKUP(A97,'337'!$A$6:$AB$188,22,FALSE)))))</f>
        <v>69.731633058255511</v>
      </c>
      <c r="C97" s="26">
        <f t="shared" si="17"/>
        <v>986.89605235651356</v>
      </c>
      <c r="D97" s="27">
        <f t="shared" si="18"/>
        <v>0.41698306176772221</v>
      </c>
      <c r="E97" s="27">
        <f>IF(A97&gt;200,"",IF($C$1='Adj-Mixed'!$A$21,VLOOKUP(A97,'337'!$A$7:$AB$188,10,FALSE),IF($C$1='Adj-Mixed'!$A$20,VLOOKUP(A97,'337'!$A$7:$AB$188,19,FALSE),IF($C$1='Adj-Mixed'!$A$19,VLOOKUP(A97,'337'!$A$7:$AB$188,28,FALSE)))))</f>
        <v>2.3981789470312913</v>
      </c>
      <c r="F97" s="27">
        <f>IF(A97&gt;200,"",IF($C$1='Adj-Mixed'!$A$21,VLOOKUP(A97,'337'!$A$7:$AB$188,7,FALSE),IF($C$1='Adj-Mixed'!$A$20,VLOOKUP(A97,'337'!$A$7:$AB$188,16,FALSE),IF($C$1='Adj-Mixed'!$A$19,VLOOKUP(A97,'337'!$A$7:$AB$188,25,FALSE)))))</f>
        <v>2.3709251394064159</v>
      </c>
      <c r="G97" s="27">
        <f t="shared" si="20"/>
        <v>118.37471352954522</v>
      </c>
      <c r="H97" s="1"/>
      <c r="I97" s="136">
        <f t="shared" si="13"/>
        <v>76.325909134055976</v>
      </c>
      <c r="J97" s="26">
        <f>IF(A97&gt;200,"",(C97*'Adj-Mixed'!$C$6))</f>
        <v>1087.9388204768522</v>
      </c>
      <c r="K97" s="27">
        <f>IF(A97&gt;200,"",D97*'Adj-Mixed'!$C$7)</f>
        <v>0.37020158938888631</v>
      </c>
      <c r="L97" s="1">
        <f t="shared" si="14"/>
        <v>2.7012309743206648</v>
      </c>
      <c r="M97" s="27">
        <f t="shared" si="15"/>
        <v>2.9387740400379623</v>
      </c>
      <c r="N97" s="122">
        <f t="shared" si="19"/>
        <v>146.89186219870325</v>
      </c>
    </row>
    <row r="98" spans="1:14" x14ac:dyDescent="0.25">
      <c r="A98" s="22">
        <f t="shared" si="16"/>
        <v>116</v>
      </c>
      <c r="B98" s="28">
        <f>IF(A98&gt;200,"",IF($C$1='Adj-Mixed'!$A$21,VLOOKUP(A98,'337'!$A$6:$AB$188,4,FALSE),IF($C$1='Adj-Mixed'!$A$20,VLOOKUP(A98,'337'!$A$6:$AB$188,13,FALSE),IF($C$1='Adj-Mixed'!$A$19,VLOOKUP(A98,'337'!$A$6:$AB$188,22,FALSE)))))</f>
        <v>70.72009369270441</v>
      </c>
      <c r="C98" s="26">
        <f t="shared" si="17"/>
        <v>988.46063444889865</v>
      </c>
      <c r="D98" s="27">
        <f t="shared" si="18"/>
        <v>0.41489263081323791</v>
      </c>
      <c r="E98" s="27">
        <f>IF(A98&gt;200,"",IF($C$1='Adj-Mixed'!$A$21,VLOOKUP(A98,'337'!$A$7:$AB$188,10,FALSE),IF($C$1='Adj-Mixed'!$A$20,VLOOKUP(A98,'337'!$A$7:$AB$188,19,FALSE),IF($C$1='Adj-Mixed'!$A$19,VLOOKUP(A98,'337'!$A$7:$AB$188,28,FALSE)))))</f>
        <v>2.410262139483855</v>
      </c>
      <c r="F98" s="27">
        <f>IF(A98&gt;200,"",IF($C$1='Adj-Mixed'!$A$21,VLOOKUP(A98,'337'!$A$7:$AB$188,7,FALSE),IF($C$1='Adj-Mixed'!$A$20,VLOOKUP(A98,'337'!$A$7:$AB$188,16,FALSE),IF($C$1='Adj-Mixed'!$A$19,VLOOKUP(A98,'337'!$A$7:$AB$188,25,FALSE)))))</f>
        <v>2.386670373743685</v>
      </c>
      <c r="G98" s="27">
        <f t="shared" si="20"/>
        <v>120.7613839032889</v>
      </c>
      <c r="H98" s="1"/>
      <c r="I98" s="136">
        <f t="shared" si="13"/>
        <v>77.415572725436576</v>
      </c>
      <c r="J98" s="26">
        <f>IF(A98&gt;200,"",(C98*'Adj-Mixed'!$C$6))</f>
        <v>1089.6635913806006</v>
      </c>
      <c r="K98" s="27">
        <f>IF(A98&gt;200,"",D98*'Adj-Mixed'!$C$7)</f>
        <v>0.3683456845984685</v>
      </c>
      <c r="L98" s="1">
        <f t="shared" si="14"/>
        <v>2.7148410903472215</v>
      </c>
      <c r="M98" s="27">
        <f t="shared" si="15"/>
        <v>2.9582634925353788</v>
      </c>
      <c r="N98" s="122">
        <f t="shared" si="19"/>
        <v>149.85012569123862</v>
      </c>
    </row>
    <row r="99" spans="1:14" x14ac:dyDescent="0.25">
      <c r="A99" s="22">
        <f t="shared" si="16"/>
        <v>117</v>
      </c>
      <c r="B99" s="28">
        <f>IF(A99&gt;200,"",IF($C$1='Adj-Mixed'!$A$21,VLOOKUP(A99,'337'!$A$6:$AB$188,4,FALSE),IF($C$1='Adj-Mixed'!$A$20,VLOOKUP(A99,'337'!$A$6:$AB$188,13,FALSE),IF($C$1='Adj-Mixed'!$A$19,VLOOKUP(A99,'337'!$A$6:$AB$188,22,FALSE)))))</f>
        <v>71.709987573282234</v>
      </c>
      <c r="C99" s="26">
        <f t="shared" si="17"/>
        <v>989.89388057782435</v>
      </c>
      <c r="D99" s="27">
        <f t="shared" si="18"/>
        <v>0.41283432230260297</v>
      </c>
      <c r="E99" s="27">
        <f>IF(A99&gt;200,"",IF($C$1='Adj-Mixed'!$A$21,VLOOKUP(A99,'337'!$A$7:$AB$188,10,FALSE),IF($C$1='Adj-Mixed'!$A$20,VLOOKUP(A99,'337'!$A$7:$AB$188,19,FALSE),IF($C$1='Adj-Mixed'!$A$19,VLOOKUP(A99,'337'!$A$7:$AB$188,28,FALSE)))))</f>
        <v>2.4222792194758727</v>
      </c>
      <c r="F99" s="27">
        <f>IF(A99&gt;200,"",IF($C$1='Adj-Mixed'!$A$21,VLOOKUP(A99,'337'!$A$7:$AB$188,7,FALSE),IF($C$1='Adj-Mixed'!$A$20,VLOOKUP(A99,'337'!$A$7:$AB$188,16,FALSE),IF($C$1='Adj-Mixed'!$A$19,VLOOKUP(A99,'337'!$A$7:$AB$188,25,FALSE)))))</f>
        <v>2.4020637991186797</v>
      </c>
      <c r="G99" s="27">
        <f t="shared" si="20"/>
        <v>123.16344770240758</v>
      </c>
      <c r="H99" s="1"/>
      <c r="I99" s="136">
        <f t="shared" si="13"/>
        <v>78.506816305002587</v>
      </c>
      <c r="J99" s="26">
        <f>IF(A99&gt;200,"",(C99*'Adj-Mixed'!$C$6))</f>
        <v>1091.243579566016</v>
      </c>
      <c r="K99" s="27">
        <f>IF(A99&gt;200,"",D99*'Adj-Mixed'!$C$7)</f>
        <v>0.36651829842393319</v>
      </c>
      <c r="L99" s="1">
        <f t="shared" si="14"/>
        <v>2.728376739442762</v>
      </c>
      <c r="M99" s="27">
        <f t="shared" si="15"/>
        <v>2.9773235995541749</v>
      </c>
      <c r="N99" s="122">
        <f t="shared" si="19"/>
        <v>152.8274492907928</v>
      </c>
    </row>
    <row r="100" spans="1:14" x14ac:dyDescent="0.25">
      <c r="A100" s="22">
        <f t="shared" si="16"/>
        <v>118</v>
      </c>
      <c r="B100" s="28">
        <f>IF(A100&gt;200,"",IF($C$1='Adj-Mixed'!$A$21,VLOOKUP(A100,'337'!$A$6:$AB$188,4,FALSE),IF($C$1='Adj-Mixed'!$A$20,VLOOKUP(A100,'337'!$A$6:$AB$188,13,FALSE),IF($C$1='Adj-Mixed'!$A$19,VLOOKUP(A100,'337'!$A$6:$AB$188,22,FALSE)))))</f>
        <v>72.701184905453943</v>
      </c>
      <c r="C100" s="26">
        <f t="shared" si="17"/>
        <v>991.19733217170847</v>
      </c>
      <c r="D100" s="27">
        <f t="shared" si="18"/>
        <v>0.41080654574319031</v>
      </c>
      <c r="E100" s="27">
        <f>IF(A100&gt;200,"",IF($C$1='Adj-Mixed'!$A$21,VLOOKUP(A100,'337'!$A$7:$AB$188,10,FALSE),IF($C$1='Adj-Mixed'!$A$20,VLOOKUP(A100,'337'!$A$7:$AB$188,19,FALSE),IF($C$1='Adj-Mixed'!$A$19,VLOOKUP(A100,'337'!$A$7:$AB$188,28,FALSE)))))</f>
        <v>2.4342357987283272</v>
      </c>
      <c r="F100" s="27">
        <f>IF(A100&gt;200,"",IF($C$1='Adj-Mixed'!$A$21,VLOOKUP(A100,'337'!$A$7:$AB$188,7,FALSE),IF($C$1='Adj-Mixed'!$A$20,VLOOKUP(A100,'337'!$A$7:$AB$188,16,FALSE),IF($C$1='Adj-Mixed'!$A$19,VLOOKUP(A100,'337'!$A$7:$AB$188,25,FALSE)))))</f>
        <v>2.4171098352852161</v>
      </c>
      <c r="G100" s="27">
        <f t="shared" si="20"/>
        <v>125.5805575376928</v>
      </c>
      <c r="H100" s="1"/>
      <c r="I100" s="136">
        <f t="shared" ref="I100:I131" si="21">IF(A100&gt;200,"",I99+(J100/1000))</f>
        <v>79.599496789282341</v>
      </c>
      <c r="J100" s="26">
        <f>IF(A100&gt;200,"",(C100*'Adj-Mixed'!$C$6))</f>
        <v>1092.6804842797524</v>
      </c>
      <c r="K100" s="27">
        <f>IF(A100&gt;200,"",D100*'Adj-Mixed'!$C$7)</f>
        <v>0.36471801881056548</v>
      </c>
      <c r="L100" s="1">
        <f t="shared" ref="L100:L131" si="22">IF(A100&gt;200,"",1/K100)</f>
        <v>2.7418442424677676</v>
      </c>
      <c r="M100" s="27">
        <f t="shared" ref="M100:M131" si="23">IF(A100&gt;200,"",(J100/1000)/K100)</f>
        <v>2.9959596946793314</v>
      </c>
      <c r="N100" s="122">
        <f t="shared" si="19"/>
        <v>155.82340898547213</v>
      </c>
    </row>
    <row r="101" spans="1:14" x14ac:dyDescent="0.25">
      <c r="A101" s="22">
        <f t="shared" si="16"/>
        <v>119</v>
      </c>
      <c r="B101" s="28">
        <f>IF(A101&gt;200,"",IF($C$1='Adj-Mixed'!$A$21,VLOOKUP(A101,'337'!$A$6:$AB$188,4,FALSE),IF($C$1='Adj-Mixed'!$A$20,VLOOKUP(A101,'337'!$A$6:$AB$188,13,FALSE),IF($C$1='Adj-Mixed'!$A$19,VLOOKUP(A101,'337'!$A$6:$AB$188,22,FALSE)))))</f>
        <v>73.69355746098347</v>
      </c>
      <c r="C101" s="26">
        <f t="shared" si="17"/>
        <v>992.37255552952774</v>
      </c>
      <c r="D101" s="27">
        <f t="shared" si="18"/>
        <v>0.4088077681693843</v>
      </c>
      <c r="E101" s="27">
        <f>IF(A101&gt;200,"",IF($C$1='Adj-Mixed'!$A$21,VLOOKUP(A101,'337'!$A$7:$AB$188,10,FALSE),IF($C$1='Adj-Mixed'!$A$20,VLOOKUP(A101,'337'!$A$7:$AB$188,19,FALSE),IF($C$1='Adj-Mixed'!$A$19,VLOOKUP(A101,'337'!$A$7:$AB$188,28,FALSE)))))</f>
        <v>2.4461374706208194</v>
      </c>
      <c r="F101" s="27">
        <f>IF(A101&gt;200,"",IF($C$1='Adj-Mixed'!$A$21,VLOOKUP(A101,'337'!$A$7:$AB$188,7,FALSE),IF($C$1='Adj-Mixed'!$A$20,VLOOKUP(A101,'337'!$A$7:$AB$188,16,FALSE),IF($C$1='Adj-Mixed'!$A$19,VLOOKUP(A101,'337'!$A$7:$AB$188,25,FALSE)))))</f>
        <v>2.4318131082318128</v>
      </c>
      <c r="G101" s="27">
        <f t="shared" si="20"/>
        <v>128.01237064592462</v>
      </c>
      <c r="H101" s="1"/>
      <c r="I101" s="136">
        <f t="shared" si="21"/>
        <v>80.693472821467722</v>
      </c>
      <c r="J101" s="26">
        <f>IF(A101&gt;200,"",(C101*'Adj-Mixed'!$C$6))</f>
        <v>1093.9760321853801</v>
      </c>
      <c r="K101" s="27">
        <f>IF(A101&gt;200,"",D101*'Adj-Mixed'!$C$7)</f>
        <v>0.36294348477668659</v>
      </c>
      <c r="L101" s="1">
        <f t="shared" si="22"/>
        <v>2.7552498996235855</v>
      </c>
      <c r="M101" s="27">
        <f t="shared" si="23"/>
        <v>3.0141773528693765</v>
      </c>
      <c r="N101" s="122">
        <f t="shared" ref="N101:N132" si="24">IF(A101&gt;200,"",N100+M101)</f>
        <v>158.83758633834151</v>
      </c>
    </row>
    <row r="102" spans="1:14" x14ac:dyDescent="0.25">
      <c r="A102" s="22">
        <f t="shared" si="16"/>
        <v>120</v>
      </c>
      <c r="B102" s="28">
        <f>IF(A102&gt;200,"",IF($C$1='Adj-Mixed'!$A$21,VLOOKUP(A102,'337'!$A$6:$AB$188,4,FALSE),IF($C$1='Adj-Mixed'!$A$20,VLOOKUP(A102,'337'!$A$6:$AB$188,13,FALSE),IF($C$1='Adj-Mixed'!$A$19,VLOOKUP(A102,'337'!$A$6:$AB$188,22,FALSE)))))</f>
        <v>74.686978601262098</v>
      </c>
      <c r="C102" s="26">
        <f t="shared" si="17"/>
        <v>993.42114027862749</v>
      </c>
      <c r="D102" s="27">
        <f t="shared" si="18"/>
        <v>0.40683651284100403</v>
      </c>
      <c r="E102" s="27">
        <f>IF(A102&gt;200,"",IF($C$1='Adj-Mixed'!$A$21,VLOOKUP(A102,'337'!$A$7:$AB$188,10,FALSE),IF($C$1='Adj-Mixed'!$A$20,VLOOKUP(A102,'337'!$A$7:$AB$188,19,FALSE),IF($C$1='Adj-Mixed'!$A$19,VLOOKUP(A102,'337'!$A$7:$AB$188,28,FALSE)))))</f>
        <v>2.4579898028739877</v>
      </c>
      <c r="F102" s="27">
        <f>IF(A102&gt;200,"",IF($C$1='Adj-Mixed'!$A$21,VLOOKUP(A102,'337'!$A$7:$AB$188,7,FALSE),IF($C$1='Adj-Mixed'!$A$20,VLOOKUP(A102,'337'!$A$7:$AB$188,16,FALSE),IF($C$1='Adj-Mixed'!$A$19,VLOOKUP(A102,'337'!$A$7:$AB$188,25,FALSE)))))</f>
        <v>2.4461784312316439</v>
      </c>
      <c r="G102" s="27">
        <f t="shared" si="20"/>
        <v>130.45854907715625</v>
      </c>
      <c r="H102" s="1"/>
      <c r="I102" s="136">
        <f t="shared" si="21"/>
        <v>81.788604797131015</v>
      </c>
      <c r="J102" s="26">
        <f>IF(A102&gt;200,"",(C102*'Adj-Mixed'!$C$6))</f>
        <v>1095.1319756632993</v>
      </c>
      <c r="K102" s="27">
        <f>IF(A102&gt;200,"",D102*'Adj-Mixed'!$C$7)</f>
        <v>0.3611933852581018</v>
      </c>
      <c r="L102" s="1">
        <f t="shared" si="22"/>
        <v>2.7685999822101377</v>
      </c>
      <c r="M102" s="27">
        <f t="shared" si="23"/>
        <v>3.0319823683391633</v>
      </c>
      <c r="N102" s="122">
        <f t="shared" si="24"/>
        <v>161.86956870668067</v>
      </c>
    </row>
    <row r="103" spans="1:14" x14ac:dyDescent="0.25">
      <c r="A103" s="22">
        <f t="shared" si="16"/>
        <v>121</v>
      </c>
      <c r="B103" s="28">
        <f>IF(A103&gt;200,"",IF($C$1='Adj-Mixed'!$A$21,VLOOKUP(A103,'337'!$A$6:$AB$188,4,FALSE),IF($C$1='Adj-Mixed'!$A$20,VLOOKUP(A103,'337'!$A$6:$AB$188,13,FALSE),IF($C$1='Adj-Mixed'!$A$19,VLOOKUP(A103,'337'!$A$6:$AB$188,22,FALSE)))))</f>
        <v>75.681323299116187</v>
      </c>
      <c r="C103" s="26">
        <f t="shared" si="17"/>
        <v>994.34469785408908</v>
      </c>
      <c r="D103" s="27">
        <f t="shared" si="18"/>
        <v>0.40489135796375697</v>
      </c>
      <c r="E103" s="27">
        <f>IF(A103&gt;200,"",IF($C$1='Adj-Mixed'!$A$21,VLOOKUP(A103,'337'!$A$7:$AB$188,10,FALSE),IF($C$1='Adj-Mixed'!$A$20,VLOOKUP(A103,'337'!$A$7:$AB$188,19,FALSE),IF($C$1='Adj-Mixed'!$A$19,VLOOKUP(A103,'337'!$A$7:$AB$188,28,FALSE)))))</f>
        <v>2.4697983306660571</v>
      </c>
      <c r="F103" s="27">
        <f>IF(A103&gt;200,"",IF($C$1='Adj-Mixed'!$A$21,VLOOKUP(A103,'337'!$A$7:$AB$188,7,FALSE),IF($C$1='Adj-Mixed'!$A$20,VLOOKUP(A103,'337'!$A$7:$AB$188,16,FALSE),IF($C$1='Adj-Mixed'!$A$19,VLOOKUP(A103,'337'!$A$7:$AB$188,25,FALSE)))))</f>
        <v>2.4602107864408609</v>
      </c>
      <c r="G103" s="27">
        <f t="shared" si="20"/>
        <v>132.9187598635971</v>
      </c>
      <c r="H103" s="1"/>
      <c r="I103" s="136">
        <f t="shared" si="21"/>
        <v>82.884754888265434</v>
      </c>
      <c r="J103" s="26">
        <f>IF(A103&gt;200,"",(C103*'Adj-Mixed'!$C$6))</f>
        <v>1096.1500911344178</v>
      </c>
      <c r="K103" s="27">
        <f>IF(A103&gt;200,"",D103*'Adj-Mixed'!$C$7)</f>
        <v>0.35946645797210686</v>
      </c>
      <c r="L103" s="1">
        <f t="shared" si="22"/>
        <v>2.7819007248726275</v>
      </c>
      <c r="M103" s="27">
        <f t="shared" si="23"/>
        <v>3.0493807330960334</v>
      </c>
      <c r="N103" s="122">
        <f t="shared" si="24"/>
        <v>164.9189494397767</v>
      </c>
    </row>
    <row r="104" spans="1:14" x14ac:dyDescent="0.25">
      <c r="A104" s="22">
        <f t="shared" si="16"/>
        <v>122</v>
      </c>
      <c r="B104" s="28">
        <f>IF(A104&gt;200,"",IF($C$1='Adj-Mixed'!$A$21,VLOOKUP(A104,'337'!$A$6:$AB$188,4,FALSE),IF($C$1='Adj-Mixed'!$A$20,VLOOKUP(A104,'337'!$A$6:$AB$188,13,FALSE),IF($C$1='Adj-Mixed'!$A$19,VLOOKUP(A104,'337'!$A$6:$AB$188,22,FALSE)))))</f>
        <v>76.676468159117377</v>
      </c>
      <c r="C104" s="26">
        <f t="shared" si="17"/>
        <v>995.14486000119007</v>
      </c>
      <c r="D104" s="27">
        <f t="shared" si="18"/>
        <v>0.40297093542991225</v>
      </c>
      <c r="E104" s="27">
        <f>IF(A104&gt;200,"",IF($C$1='Adj-Mixed'!$A$21,VLOOKUP(A104,'337'!$A$7:$AB$188,10,FALSE),IF($C$1='Adj-Mixed'!$A$20,VLOOKUP(A104,'337'!$A$7:$AB$188,19,FALSE),IF($C$1='Adj-Mixed'!$A$19,VLOOKUP(A104,'337'!$A$7:$AB$188,28,FALSE)))))</f>
        <v>2.4815685501812763</v>
      </c>
      <c r="F104" s="27">
        <f>IF(A104&gt;200,"",IF($C$1='Adj-Mixed'!$A$21,VLOOKUP(A104,'337'!$A$7:$AB$188,7,FALSE),IF($C$1='Adj-Mixed'!$A$20,VLOOKUP(A104,'337'!$A$7:$AB$188,16,FALSE),IF($C$1='Adj-Mixed'!$A$19,VLOOKUP(A104,'337'!$A$7:$AB$188,25,FALSE)))))</f>
        <v>2.4739153070776965</v>
      </c>
      <c r="G104" s="27">
        <f t="shared" si="20"/>
        <v>135.39267517067481</v>
      </c>
      <c r="H104" s="1"/>
      <c r="I104" s="136">
        <f t="shared" si="21"/>
        <v>83.981787065674723</v>
      </c>
      <c r="J104" s="26">
        <f>IF(A104&gt;200,"",(C104*'Adj-Mixed'!$C$6))</f>
        <v>1097.0321774092881</v>
      </c>
      <c r="K104" s="27">
        <f>IF(A104&gt;200,"",D104*'Adj-Mixed'!$C$7)</f>
        <v>0.35776148829944521</v>
      </c>
      <c r="L104" s="1">
        <f t="shared" si="22"/>
        <v>2.7951583183347091</v>
      </c>
      <c r="M104" s="27">
        <f t="shared" si="23"/>
        <v>3.0663786161664102</v>
      </c>
      <c r="N104" s="122">
        <f t="shared" si="24"/>
        <v>167.98532805594311</v>
      </c>
    </row>
    <row r="105" spans="1:14" x14ac:dyDescent="0.25">
      <c r="A105" s="22">
        <f t="shared" si="16"/>
        <v>123</v>
      </c>
      <c r="B105" s="28">
        <f>IF(A105&gt;200,"",IF($C$1='Adj-Mixed'!$A$21,VLOOKUP(A105,'337'!$A$6:$AB$188,4,FALSE),IF($C$1='Adj-Mixed'!$A$20,VLOOKUP(A105,'337'!$A$6:$AB$188,13,FALSE),IF($C$1='Adj-Mixed'!$A$19,VLOOKUP(A105,'337'!$A$6:$AB$188,22,FALSE)))))</f>
        <v>77.6722914364193</v>
      </c>
      <c r="C105" s="26">
        <f t="shared" si="17"/>
        <v>995.82327730192333</v>
      </c>
      <c r="D105" s="27">
        <f t="shared" si="18"/>
        <v>0.40107392957780597</v>
      </c>
      <c r="E105" s="27">
        <f>IF(A105&gt;200,"",IF($C$1='Adj-Mixed'!$A$21,VLOOKUP(A105,'337'!$A$7:$AB$188,10,FALSE),IF($C$1='Adj-Mixed'!$A$20,VLOOKUP(A105,'337'!$A$7:$AB$188,19,FALSE),IF($C$1='Adj-Mixed'!$A$19,VLOOKUP(A105,'337'!$A$7:$AB$188,28,FALSE)))))</f>
        <v>2.4933059125848915</v>
      </c>
      <c r="F105" s="27">
        <f>IF(A105&gt;200,"",IF($C$1='Adj-Mixed'!$A$21,VLOOKUP(A105,'337'!$A$7:$AB$188,7,FALSE),IF($C$1='Adj-Mixed'!$A$20,VLOOKUP(A105,'337'!$A$7:$AB$188,16,FALSE),IF($C$1='Adj-Mixed'!$A$19,VLOOKUP(A105,'337'!$A$7:$AB$188,25,FALSE)))))</f>
        <v>2.4872972602099761</v>
      </c>
      <c r="G105" s="27">
        <f t="shared" si="20"/>
        <v>137.87997243088478</v>
      </c>
      <c r="H105" s="1"/>
      <c r="I105" s="136">
        <f t="shared" si="21"/>
        <v>85.079567119738485</v>
      </c>
      <c r="J105" s="26">
        <f>IF(A105&gt;200,"",(C105*'Adj-Mixed'!$C$6))</f>
        <v>1097.7800540637629</v>
      </c>
      <c r="K105" s="27">
        <f>IF(A105&gt;200,"",D105*'Adj-Mixed'!$C$7)</f>
        <v>0.35607730818298533</v>
      </c>
      <c r="L105" s="1">
        <f t="shared" si="22"/>
        <v>2.808378902612092</v>
      </c>
      <c r="M105" s="27">
        <f t="shared" si="23"/>
        <v>3.0829823435410337</v>
      </c>
      <c r="N105" s="122">
        <f t="shared" si="24"/>
        <v>171.06831039948415</v>
      </c>
    </row>
    <row r="106" spans="1:14" x14ac:dyDescent="0.25">
      <c r="A106" s="22">
        <f t="shared" si="16"/>
        <v>124</v>
      </c>
      <c r="B106" s="28">
        <f>IF(A106&gt;200,"",IF($C$1='Adj-Mixed'!$A$21,VLOOKUP(A106,'337'!$A$6:$AB$188,4,FALSE),IF($C$1='Adj-Mixed'!$A$20,VLOOKUP(A106,'337'!$A$6:$AB$188,13,FALSE),IF($C$1='Adj-Mixed'!$A$19,VLOOKUP(A106,'337'!$A$6:$AB$188,22,FALSE)))))</f>
        <v>78.668673054145358</v>
      </c>
      <c r="C106" s="26">
        <f t="shared" si="17"/>
        <v>996.38161772605827</v>
      </c>
      <c r="D106" s="27">
        <f t="shared" si="18"/>
        <v>0.39919907596851817</v>
      </c>
      <c r="E106" s="27">
        <f>IF(A106&gt;200,"",IF($C$1='Adj-Mixed'!$A$21,VLOOKUP(A106,'337'!$A$7:$AB$188,10,FALSE),IF($C$1='Adj-Mixed'!$A$20,VLOOKUP(A106,'337'!$A$7:$AB$188,19,FALSE),IF($C$1='Adj-Mixed'!$A$19,VLOOKUP(A106,'337'!$A$7:$AB$188,28,FALSE)))))</f>
        <v>2.5050158184205378</v>
      </c>
      <c r="F106" s="27">
        <f>IF(A106&gt;200,"",IF($C$1='Adj-Mixed'!$A$21,VLOOKUP(A106,'337'!$A$7:$AB$188,7,FALSE),IF($C$1='Adj-Mixed'!$A$20,VLOOKUP(A106,'337'!$A$7:$AB$188,16,FALSE),IF($C$1='Adj-Mixed'!$A$19,VLOOKUP(A106,'337'!$A$7:$AB$188,25,FALSE)))))</f>
        <v>2.5003620301740916</v>
      </c>
      <c r="G106" s="27">
        <f t="shared" si="20"/>
        <v>140.38033446105888</v>
      </c>
      <c r="H106" s="1"/>
      <c r="I106" s="136">
        <f t="shared" si="21"/>
        <v>86.17796267958019</v>
      </c>
      <c r="J106" s="26">
        <f>IF(A106&gt;200,"",(C106*'Adj-Mixed'!$C$6))</f>
        <v>1098.3955598417094</v>
      </c>
      <c r="K106" s="27">
        <f>IF(A106&gt;200,"",D106*'Adj-Mixed'!$C$7)</f>
        <v>0.3544127950416423</v>
      </c>
      <c r="L106" s="1">
        <f t="shared" si="22"/>
        <v>2.8215685607019445</v>
      </c>
      <c r="M106" s="27">
        <f t="shared" si="23"/>
        <v>3.0991983788639788</v>
      </c>
      <c r="N106" s="122">
        <f t="shared" si="24"/>
        <v>174.16750877834812</v>
      </c>
    </row>
    <row r="107" spans="1:14" x14ac:dyDescent="0.25">
      <c r="A107" s="22">
        <f t="shared" si="16"/>
        <v>125</v>
      </c>
      <c r="B107" s="28">
        <f>IF(A107&gt;200,"",IF($C$1='Adj-Mixed'!$A$21,VLOOKUP(A107,'337'!$A$6:$AB$188,4,FALSE),IF($C$1='Adj-Mixed'!$A$20,VLOOKUP(A107,'337'!$A$6:$AB$188,13,FALSE),IF($C$1='Adj-Mixed'!$A$19,VLOOKUP(A107,'337'!$A$6:$AB$188,22,FALSE)))))</f>
        <v>79.665494619353183</v>
      </c>
      <c r="C107" s="26">
        <f t="shared" si="17"/>
        <v>996.82156520782428</v>
      </c>
      <c r="D107" s="27">
        <f t="shared" si="18"/>
        <v>0.3973451601786106</v>
      </c>
      <c r="E107" s="27">
        <f>IF(A107&gt;200,"",IF($C$1='Adj-Mixed'!$A$21,VLOOKUP(A107,'337'!$A$7:$AB$188,10,FALSE),IF($C$1='Adj-Mixed'!$A$20,VLOOKUP(A107,'337'!$A$7:$AB$188,19,FALSE),IF($C$1='Adj-Mixed'!$A$19,VLOOKUP(A107,'337'!$A$7:$AB$188,28,FALSE)))))</f>
        <v>2.5167036124222326</v>
      </c>
      <c r="F107" s="27">
        <f>IF(A107&gt;200,"",IF($C$1='Adj-Mixed'!$A$21,VLOOKUP(A107,'337'!$A$7:$AB$188,7,FALSE),IF($C$1='Adj-Mixed'!$A$20,VLOOKUP(A107,'337'!$A$7:$AB$188,16,FALSE),IF($C$1='Adj-Mixed'!$A$19,VLOOKUP(A107,'337'!$A$7:$AB$188,25,FALSE)))))</f>
        <v>2.5131151026441358</v>
      </c>
      <c r="G107" s="27">
        <f t="shared" si="20"/>
        <v>142.89344956370303</v>
      </c>
      <c r="H107" s="1"/>
      <c r="I107" s="136">
        <f t="shared" si="21"/>
        <v>87.276843230666159</v>
      </c>
      <c r="J107" s="26">
        <f>IF(A107&gt;200,"",(C107*'Adj-Mixed'!$C$6))</f>
        <v>1098.8805510859659</v>
      </c>
      <c r="K107" s="27">
        <f>IF(A107&gt;200,"",D107*'Adj-Mixed'!$C$7)</f>
        <v>0.35276687069855894</v>
      </c>
      <c r="L107" s="1">
        <f t="shared" si="22"/>
        <v>2.8347333127392935</v>
      </c>
      <c r="M107" s="27">
        <f t="shared" si="23"/>
        <v>3.1150333048847005</v>
      </c>
      <c r="N107" s="122">
        <f t="shared" si="24"/>
        <v>177.28254208323281</v>
      </c>
    </row>
    <row r="108" spans="1:14" x14ac:dyDescent="0.25">
      <c r="A108" s="22">
        <f t="shared" si="16"/>
        <v>126</v>
      </c>
      <c r="B108" s="28">
        <f>IF(A108&gt;200,"",IF($C$1='Adj-Mixed'!$A$21,VLOOKUP(A108,'337'!$A$6:$AB$188,4,FALSE),IF($C$1='Adj-Mixed'!$A$20,VLOOKUP(A108,'337'!$A$6:$AB$188,13,FALSE),IF($C$1='Adj-Mixed'!$A$19,VLOOKUP(A108,'337'!$A$6:$AB$188,22,FALSE)))))</f>
        <v>80.662639437602422</v>
      </c>
      <c r="C108" s="26">
        <f t="shared" si="17"/>
        <v>997.14481824923951</v>
      </c>
      <c r="D108" s="27">
        <f t="shared" si="18"/>
        <v>0.39551101660786625</v>
      </c>
      <c r="E108" s="27">
        <f>IF(A108&gt;200,"",IF($C$1='Adj-Mixed'!$A$21,VLOOKUP(A108,'337'!$A$7:$AB$188,10,FALSE),IF($C$1='Adj-Mixed'!$A$20,VLOOKUP(A108,'337'!$A$7:$AB$188,19,FALSE),IF($C$1='Adj-Mixed'!$A$19,VLOOKUP(A108,'337'!$A$7:$AB$188,28,FALSE)))))</f>
        <v>2.5283745787325591</v>
      </c>
      <c r="F108" s="27">
        <f>IF(A108&gt;200,"",IF($C$1='Adj-Mixed'!$A$21,VLOOKUP(A108,'337'!$A$7:$AB$188,7,FALSE),IF($C$1='Adj-Mixed'!$A$20,VLOOKUP(A108,'337'!$A$7:$AB$188,16,FALSE),IF($C$1='Adj-Mixed'!$A$19,VLOOKUP(A108,'337'!$A$7:$AB$188,25,FALSE)))))</f>
        <v>2.5255620493656954</v>
      </c>
      <c r="G108" s="27">
        <f t="shared" si="20"/>
        <v>145.41901161306873</v>
      </c>
      <c r="H108" s="1"/>
      <c r="I108" s="136">
        <f t="shared" si="21"/>
        <v>88.376080130864835</v>
      </c>
      <c r="J108" s="26">
        <f>IF(A108&gt;200,"",(C108*'Adj-Mixed'!$C$6))</f>
        <v>1099.2369001986744</v>
      </c>
      <c r="K108" s="27">
        <f>IF(A108&gt;200,"",D108*'Adj-Mixed'!$C$7)</f>
        <v>0.35113850032260535</v>
      </c>
      <c r="L108" s="1">
        <f t="shared" si="22"/>
        <v>2.8478791106109385</v>
      </c>
      <c r="M108" s="27">
        <f t="shared" si="23"/>
        <v>3.1304938056885256</v>
      </c>
      <c r="N108" s="122">
        <f t="shared" si="24"/>
        <v>180.41303588892134</v>
      </c>
    </row>
    <row r="109" spans="1:14" x14ac:dyDescent="0.25">
      <c r="A109" s="22">
        <f t="shared" si="16"/>
        <v>127</v>
      </c>
      <c r="B109" s="28">
        <f>IF(A109&gt;200,"",IF($C$1='Adj-Mixed'!$A$21,VLOOKUP(A109,'337'!$A$6:$AB$188,4,FALSE),IF($C$1='Adj-Mixed'!$A$20,VLOOKUP(A109,'337'!$A$6:$AB$188,13,FALSE),IF($C$1='Adj-Mixed'!$A$19,VLOOKUP(A109,'337'!$A$6:$AB$188,22,FALSE)))))</f>
        <v>81.659992526152351</v>
      </c>
      <c r="C109" s="26">
        <f t="shared" si="17"/>
        <v>997.35308854992866</v>
      </c>
      <c r="D109" s="27">
        <f t="shared" si="18"/>
        <v>0.39369552730083035</v>
      </c>
      <c r="E109" s="27">
        <f>IF(A109&gt;200,"",IF($C$1='Adj-Mixed'!$A$21,VLOOKUP(A109,'337'!$A$7:$AB$188,10,FALSE),IF($C$1='Adj-Mixed'!$A$20,VLOOKUP(A109,'337'!$A$7:$AB$188,19,FALSE),IF($C$1='Adj-Mixed'!$A$19,VLOOKUP(A109,'337'!$A$7:$AB$188,28,FALSE)))))</f>
        <v>2.5400339365193769</v>
      </c>
      <c r="F109" s="27">
        <f>IF(A109&gt;200,"",IF($C$1='Adj-Mixed'!$A$21,VLOOKUP(A109,'337'!$A$7:$AB$188,7,FALSE),IF($C$1='Adj-Mixed'!$A$20,VLOOKUP(A109,'337'!$A$7:$AB$188,16,FALSE),IF($C$1='Adj-Mixed'!$A$19,VLOOKUP(A109,'337'!$A$7:$AB$188,25,FALSE)))))</f>
        <v>2.5377085135649162</v>
      </c>
      <c r="G109" s="27">
        <f t="shared" si="20"/>
        <v>147.95672012663366</v>
      </c>
      <c r="H109" s="1"/>
      <c r="I109" s="136">
        <f t="shared" si="21"/>
        <v>89.475546624995644</v>
      </c>
      <c r="J109" s="26">
        <f>IF(A109&gt;200,"",(C109*'Adj-Mixed'!$C$6))</f>
        <v>1099.4664941308126</v>
      </c>
      <c r="K109" s="27">
        <f>IF(A109&gt;200,"",D109*'Adj-Mixed'!$C$7)</f>
        <v>0.34952669138213188</v>
      </c>
      <c r="L109" s="1">
        <f t="shared" si="22"/>
        <v>2.8610118330182579</v>
      </c>
      <c r="M109" s="27">
        <f t="shared" si="23"/>
        <v>3.1455866497153533</v>
      </c>
      <c r="N109" s="122">
        <f t="shared" si="24"/>
        <v>183.55862253863668</v>
      </c>
    </row>
    <row r="110" spans="1:14" x14ac:dyDescent="0.25">
      <c r="A110" s="22">
        <f t="shared" si="16"/>
        <v>128</v>
      </c>
      <c r="B110" s="28">
        <f>IF(A110&gt;200,"",IF($C$1='Adj-Mixed'!$A$21,VLOOKUP(A110,'337'!$A$6:$AB$188,4,FALSE),IF($C$1='Adj-Mixed'!$A$20,VLOOKUP(A110,'337'!$A$6:$AB$188,13,FALSE),IF($C$1='Adj-Mixed'!$A$19,VLOOKUP(A110,'337'!$A$6:$AB$188,22,FALSE)))))</f>
        <v>82.6574406258176</v>
      </c>
      <c r="C110" s="26">
        <f t="shared" si="17"/>
        <v>997.44809966524883</v>
      </c>
      <c r="D110" s="27">
        <f t="shared" si="18"/>
        <v>0.39189762078169393</v>
      </c>
      <c r="E110" s="27">
        <f>IF(A110&gt;200,"",IF($C$1='Adj-Mixed'!$A$21,VLOOKUP(A110,'337'!$A$7:$AB$188,10,FALSE),IF($C$1='Adj-Mixed'!$A$20,VLOOKUP(A110,'337'!$A$7:$AB$188,19,FALSE),IF($C$1='Adj-Mixed'!$A$19,VLOOKUP(A110,'337'!$A$7:$AB$188,28,FALSE)))))</f>
        <v>2.5516868359786464</v>
      </c>
      <c r="F110" s="27">
        <f>IF(A110&gt;200,"",IF($C$1='Adj-Mixed'!$A$21,VLOOKUP(A110,'337'!$A$7:$AB$188,7,FALSE),IF($C$1='Adj-Mixed'!$A$20,VLOOKUP(A110,'337'!$A$7:$AB$188,16,FALSE),IF($C$1='Adj-Mixed'!$A$19,VLOOKUP(A110,'337'!$A$7:$AB$188,25,FALSE)))))</f>
        <v>2.5495601960396841</v>
      </c>
      <c r="G110" s="27">
        <f t="shared" si="20"/>
        <v>150.50628032267335</v>
      </c>
      <c r="H110" s="1"/>
      <c r="I110" s="136">
        <f t="shared" si="21"/>
        <v>90.575117857898576</v>
      </c>
      <c r="J110" s="26">
        <f>IF(A110&gt;200,"",(C110*'Adj-Mixed'!$C$6))</f>
        <v>1099.5712329029323</v>
      </c>
      <c r="K110" s="27">
        <f>IF(A110&gt;200,"",D110*'Adj-Mixed'!$C$7)</f>
        <v>0.34793049261056719</v>
      </c>
      <c r="L110" s="1">
        <f t="shared" si="22"/>
        <v>2.8741372809749199</v>
      </c>
      <c r="M110" s="27">
        <f t="shared" si="23"/>
        <v>3.1603186735738742</v>
      </c>
      <c r="N110" s="122">
        <f t="shared" si="24"/>
        <v>186.71894121221055</v>
      </c>
    </row>
    <row r="111" spans="1:14" x14ac:dyDescent="0.25">
      <c r="A111" s="22">
        <f t="shared" si="16"/>
        <v>129</v>
      </c>
      <c r="B111" s="28">
        <f>IF(A111&gt;200,"",IF($C$1='Adj-Mixed'!$A$21,VLOOKUP(A111,'337'!$A$6:$AB$188,4,FALSE),IF($C$1='Adj-Mixed'!$A$20,VLOOKUP(A111,'337'!$A$6:$AB$188,13,FALSE),IF($C$1='Adj-Mixed'!$A$19,VLOOKUP(A111,'337'!$A$6:$AB$188,22,FALSE)))))</f>
        <v>83.65487221150957</v>
      </c>
      <c r="C111" s="26">
        <f t="shared" si="17"/>
        <v>997.43158569197021</v>
      </c>
      <c r="D111" s="27">
        <f t="shared" si="18"/>
        <v>0.39011627090139883</v>
      </c>
      <c r="E111" s="27">
        <f>IF(A111&gt;200,"",IF($C$1='Adj-Mixed'!$A$21,VLOOKUP(A111,'337'!$A$7:$AB$188,10,FALSE),IF($C$1='Adj-Mixed'!$A$20,VLOOKUP(A111,'337'!$A$7:$AB$188,19,FALSE),IF($C$1='Adj-Mixed'!$A$19,VLOOKUP(A111,'337'!$A$7:$AB$188,28,FALSE)))))</f>
        <v>2.5633383547151465</v>
      </c>
      <c r="F111" s="27">
        <f>IF(A111&gt;200,"",IF($C$1='Adj-Mixed'!$A$21,VLOOKUP(A111,'337'!$A$7:$AB$188,7,FALSE),IF($C$1='Adj-Mixed'!$A$20,VLOOKUP(A111,'337'!$A$7:$AB$188,16,FALSE),IF($C$1='Adj-Mixed'!$A$19,VLOOKUP(A111,'337'!$A$7:$AB$188,25,FALSE)))))</f>
        <v>2.5611228419363647</v>
      </c>
      <c r="G111" s="27">
        <f t="shared" si="20"/>
        <v>153.06740316460971</v>
      </c>
      <c r="H111" s="1"/>
      <c r="I111" s="136">
        <f t="shared" si="21"/>
        <v>91.674670886054855</v>
      </c>
      <c r="J111" s="26">
        <f>IF(A111&gt;200,"",(C111*'Adj-Mixed'!$C$6))</f>
        <v>1099.5530281562751</v>
      </c>
      <c r="K111" s="27">
        <f>IF(A111&gt;200,"",D111*'Adj-Mixed'!$C$7)</f>
        <v>0.34634899298286692</v>
      </c>
      <c r="L111" s="1">
        <f t="shared" si="22"/>
        <v>2.8872611737302427</v>
      </c>
      <c r="M111" s="27">
        <f t="shared" si="23"/>
        <v>3.1746967666531298</v>
      </c>
      <c r="N111" s="122">
        <f t="shared" si="24"/>
        <v>189.89363797886369</v>
      </c>
    </row>
    <row r="112" spans="1:14" x14ac:dyDescent="0.25">
      <c r="A112" s="22">
        <f t="shared" si="16"/>
        <v>130</v>
      </c>
      <c r="B112" s="28">
        <f>IF(A112&gt;200,"",IF($C$1='Adj-Mixed'!$A$21,VLOOKUP(A112,'337'!$A$6:$AB$188,4,FALSE),IF($C$1='Adj-Mixed'!$A$20,VLOOKUP(A112,'337'!$A$6:$AB$188,13,FALSE),IF($C$1='Adj-Mixed'!$A$19,VLOOKUP(A112,'337'!$A$6:$AB$188,22,FALSE)))))</f>
        <v>84.652177501492829</v>
      </c>
      <c r="C112" s="26">
        <f t="shared" si="17"/>
        <v>997.30528998325951</v>
      </c>
      <c r="D112" s="27">
        <f t="shared" si="18"/>
        <v>0.38835049569683328</v>
      </c>
      <c r="E112" s="27">
        <f>IF(A112&gt;200,"",IF($C$1='Adj-Mixed'!$A$21,VLOOKUP(A112,'337'!$A$7:$AB$188,10,FALSE),IF($C$1='Adj-Mixed'!$A$20,VLOOKUP(A112,'337'!$A$7:$AB$188,19,FALSE),IF($C$1='Adj-Mixed'!$A$19,VLOOKUP(A112,'337'!$A$7:$AB$188,28,FALSE)))))</f>
        <v>2.5749934944866206</v>
      </c>
      <c r="F112" s="27">
        <f>IF(A112&gt;200,"",IF($C$1='Adj-Mixed'!$A$21,VLOOKUP(A112,'337'!$A$7:$AB$188,7,FALSE),IF($C$1='Adj-Mixed'!$A$20,VLOOKUP(A112,'337'!$A$7:$AB$188,16,FALSE),IF($C$1='Adj-Mixed'!$A$19,VLOOKUP(A112,'337'!$A$7:$AB$188,25,FALSE)))))</f>
        <v>2.5724022282122632</v>
      </c>
      <c r="G112" s="27">
        <f t="shared" si="20"/>
        <v>155.63980539282198</v>
      </c>
      <c r="H112" s="1"/>
      <c r="I112" s="136">
        <f t="shared" si="21"/>
        <v>92.774084687791046</v>
      </c>
      <c r="J112" s="26">
        <f>IF(A112&gt;200,"",(C112*'Adj-Mixed'!$C$6))</f>
        <v>1099.4138017361897</v>
      </c>
      <c r="K112" s="27">
        <f>IF(A112&gt;200,"",D112*'Adj-Mixed'!$C$7)</f>
        <v>0.34478132070269701</v>
      </c>
      <c r="L112" s="1">
        <f t="shared" si="22"/>
        <v>2.9003891451019017</v>
      </c>
      <c r="M112" s="27">
        <f t="shared" si="23"/>
        <v>3.1887278565308588</v>
      </c>
      <c r="N112" s="122">
        <f t="shared" si="24"/>
        <v>193.08236583539454</v>
      </c>
    </row>
    <row r="113" spans="1:14" x14ac:dyDescent="0.25">
      <c r="A113" s="22">
        <f t="shared" si="16"/>
        <v>131</v>
      </c>
      <c r="B113" s="28">
        <f>IF(A113&gt;200,"",IF($C$1='Adj-Mixed'!$A$21,VLOOKUP(A113,'337'!$A$6:$AB$188,4,FALSE),IF($C$1='Adj-Mixed'!$A$20,VLOOKUP(A113,'337'!$A$6:$AB$188,13,FALSE),IF($C$1='Adj-Mixed'!$A$19,VLOOKUP(A113,'337'!$A$6:$AB$188,22,FALSE)))))</f>
        <v>85.649248465385369</v>
      </c>
      <c r="C113" s="26">
        <f t="shared" si="17"/>
        <v>997.07096389253991</v>
      </c>
      <c r="D113" s="27">
        <f t="shared" si="18"/>
        <v>0.38659935626134306</v>
      </c>
      <c r="E113" s="27">
        <f>IF(A113&gt;200,"",IF($C$1='Adj-Mixed'!$A$21,VLOOKUP(A113,'337'!$A$7:$AB$188,10,FALSE),IF($C$1='Adj-Mixed'!$A$20,VLOOKUP(A113,'337'!$A$7:$AB$188,19,FALSE),IF($C$1='Adj-Mixed'!$A$19,VLOOKUP(A113,'337'!$A$7:$AB$188,28,FALSE)))))</f>
        <v>2.5866571783011327</v>
      </c>
      <c r="F113" s="27">
        <f>IF(A113&gt;200,"",IF($C$1='Adj-Mixed'!$A$21,VLOOKUP(A113,'337'!$A$7:$AB$188,7,FALSE),IF($C$1='Adj-Mixed'!$A$20,VLOOKUP(A113,'337'!$A$7:$AB$188,16,FALSE),IF($C$1='Adj-Mixed'!$A$19,VLOOKUP(A113,'337'!$A$7:$AB$188,25,FALSE)))))</f>
        <v>2.5834041517810249</v>
      </c>
      <c r="G113" s="27">
        <f t="shared" si="20"/>
        <v>158.22320954460301</v>
      </c>
      <c r="H113" s="1"/>
      <c r="I113" s="136">
        <f t="shared" si="21"/>
        <v>93.873240172098434</v>
      </c>
      <c r="J113" s="26">
        <f>IF(A113&gt;200,"",(C113*'Adj-Mixed'!$C$6))</f>
        <v>1099.1554843073827</v>
      </c>
      <c r="K113" s="27">
        <f>IF(A113&gt;200,"",D113*'Adj-Mixed'!$C$7)</f>
        <v>0.34322664219966187</v>
      </c>
      <c r="L113" s="1">
        <f t="shared" si="22"/>
        <v>2.9135267402064895</v>
      </c>
      <c r="M113" s="27">
        <f t="shared" si="23"/>
        <v>3.2024188951741741</v>
      </c>
      <c r="N113" s="122">
        <f t="shared" si="24"/>
        <v>196.2847847305687</v>
      </c>
    </row>
    <row r="114" spans="1:14" x14ac:dyDescent="0.25">
      <c r="A114" s="22">
        <f t="shared" si="16"/>
        <v>132</v>
      </c>
      <c r="B114" s="28">
        <f>IF(A114&gt;200,"",IF($C$1='Adj-Mixed'!$A$21,VLOOKUP(A114,'337'!$A$6:$AB$188,4,FALSE),IF($C$1='Adj-Mixed'!$A$20,VLOOKUP(A114,'337'!$A$6:$AB$188,13,FALSE),IF($C$1='Adj-Mixed'!$A$19,VLOOKUP(A114,'337'!$A$6:$AB$188,22,FALSE)))))</f>
        <v>86.645978830932449</v>
      </c>
      <c r="C114" s="26">
        <f t="shared" si="17"/>
        <v>996.73036554708005</v>
      </c>
      <c r="D114" s="27">
        <f t="shared" si="18"/>
        <v>0.38486195562638298</v>
      </c>
      <c r="E114" s="27">
        <f>IF(A114&gt;200,"",IF($C$1='Adj-Mixed'!$A$21,VLOOKUP(A114,'337'!$A$7:$AB$188,10,FALSE),IF($C$1='Adj-Mixed'!$A$20,VLOOKUP(A114,'337'!$A$7:$AB$188,19,FALSE),IF($C$1='Adj-Mixed'!$A$19,VLOOKUP(A114,'337'!$A$7:$AB$188,28,FALSE)))))</f>
        <v>2.5983342478537472</v>
      </c>
      <c r="F114" s="27">
        <f>IF(A114&gt;200,"",IF($C$1='Adj-Mixed'!$A$21,VLOOKUP(A114,'337'!$A$7:$AB$188,7,FALSE),IF($C$1='Adj-Mixed'!$A$20,VLOOKUP(A114,'337'!$A$7:$AB$188,16,FALSE),IF($C$1='Adj-Mixed'!$A$19,VLOOKUP(A114,'337'!$A$7:$AB$188,25,FALSE)))))</f>
        <v>2.5941344183354325</v>
      </c>
      <c r="G114" s="27">
        <f t="shared" si="20"/>
        <v>160.81734396293845</v>
      </c>
      <c r="H114" s="1"/>
      <c r="I114" s="136">
        <f t="shared" si="21"/>
        <v>94.97202018610038</v>
      </c>
      <c r="J114" s="26">
        <f>IF(A114&gt;200,"",(C114*'Adj-Mixed'!$C$6))</f>
        <v>1098.7800140019426</v>
      </c>
      <c r="K114" s="27">
        <f>IF(A114&gt;200,"",D114*'Adj-Mixed'!$C$7)</f>
        <v>0.34168416113642441</v>
      </c>
      <c r="L114" s="1">
        <f t="shared" si="22"/>
        <v>2.9266794125722715</v>
      </c>
      <c r="M114" s="27">
        <f t="shared" si="23"/>
        <v>3.2157768459253577</v>
      </c>
      <c r="N114" s="122">
        <f t="shared" si="24"/>
        <v>199.50056157649405</v>
      </c>
    </row>
    <row r="115" spans="1:14" x14ac:dyDescent="0.25">
      <c r="A115" s="22">
        <f t="shared" si="16"/>
        <v>133</v>
      </c>
      <c r="B115" s="28">
        <f>IF(A115&gt;200,"",IF($C$1='Adj-Mixed'!$A$21,VLOOKUP(A115,'337'!$A$6:$AB$188,4,FALSE),IF($C$1='Adj-Mixed'!$A$20,VLOOKUP(A115,'337'!$A$6:$AB$188,13,FALSE),IF($C$1='Adj-Mixed'!$A$19,VLOOKUP(A115,'337'!$A$6:$AB$188,22,FALSE)))))</f>
        <v>87.642264089583904</v>
      </c>
      <c r="C115" s="26">
        <f t="shared" si="17"/>
        <v>996.28525865145434</v>
      </c>
      <c r="D115" s="27">
        <f t="shared" si="18"/>
        <v>0.38313743765403774</v>
      </c>
      <c r="E115" s="27">
        <f>IF(A115&gt;200,"",IF($C$1='Adj-Mixed'!$A$21,VLOOKUP(A115,'337'!$A$7:$AB$188,10,FALSE),IF($C$1='Adj-Mixed'!$A$20,VLOOKUP(A115,'337'!$A$7:$AB$188,19,FALSE),IF($C$1='Adj-Mixed'!$A$19,VLOOKUP(A115,'337'!$A$7:$AB$188,28,FALSE)))))</f>
        <v>2.6100294612894803</v>
      </c>
      <c r="F115" s="27">
        <f>IF(A115&gt;200,"",IF($C$1='Adj-Mixed'!$A$21,VLOOKUP(A115,'337'!$A$7:$AB$188,7,FALSE),IF($C$1='Adj-Mixed'!$A$20,VLOOKUP(A115,'337'!$A$7:$AB$188,16,FALSE),IF($C$1='Adj-Mixed'!$A$19,VLOOKUP(A115,'337'!$A$7:$AB$188,25,FALSE)))))</f>
        <v>2.6045988318395681</v>
      </c>
      <c r="G115" s="27">
        <f t="shared" si="20"/>
        <v>163.42194279477803</v>
      </c>
      <c r="H115" s="1"/>
      <c r="I115" s="136">
        <f t="shared" si="21"/>
        <v>96.07030952120067</v>
      </c>
      <c r="J115" s="26">
        <f>IF(A115&gt;200,"",(C115*'Adj-Mixed'!$C$6))</f>
        <v>1098.2893351002926</v>
      </c>
      <c r="K115" s="27">
        <f>IF(A115&gt;200,"",D115*'Adj-Mixed'!$C$7)</f>
        <v>0.34015311742547499</v>
      </c>
      <c r="L115" s="1">
        <f t="shared" si="22"/>
        <v>2.9398525216194513</v>
      </c>
      <c r="M115" s="27">
        <f t="shared" si="23"/>
        <v>3.2288086712623461</v>
      </c>
      <c r="N115" s="122">
        <f t="shared" si="24"/>
        <v>202.72937024775641</v>
      </c>
    </row>
    <row r="116" spans="1:14" x14ac:dyDescent="0.25">
      <c r="A116" s="22">
        <f t="shared" si="16"/>
        <v>134</v>
      </c>
      <c r="B116" s="28">
        <f>IF(A116&gt;200,"",IF($C$1='Adj-Mixed'!$A$21,VLOOKUP(A116,'337'!$A$6:$AB$188,4,FALSE),IF($C$1='Adj-Mixed'!$A$20,VLOOKUP(A116,'337'!$A$6:$AB$188,13,FALSE),IF($C$1='Adj-Mixed'!$A$19,VLOOKUP(A116,'337'!$A$6:$AB$188,22,FALSE)))))</f>
        <v>88.638001500905048</v>
      </c>
      <c r="C116" s="26">
        <f t="shared" si="17"/>
        <v>995.73741132114435</v>
      </c>
      <c r="D116" s="27">
        <f t="shared" si="18"/>
        <v>0.38142498594023277</v>
      </c>
      <c r="E116" s="27">
        <f>IF(A116&gt;200,"",IF($C$1='Adj-Mixed'!$A$21,VLOOKUP(A116,'337'!$A$7:$AB$188,10,FALSE),IF($C$1='Adj-Mixed'!$A$20,VLOOKUP(A116,'337'!$A$7:$AB$188,19,FALSE),IF($C$1='Adj-Mixed'!$A$19,VLOOKUP(A116,'337'!$A$7:$AB$188,28,FALSE)))))</f>
        <v>2.6217474912791752</v>
      </c>
      <c r="F116" s="27">
        <f>IF(A116&gt;200,"",IF($C$1='Adj-Mixed'!$A$21,VLOOKUP(A116,'337'!$A$7:$AB$188,7,FALSE),IF($C$1='Adj-Mixed'!$A$20,VLOOKUP(A116,'337'!$A$7:$AB$188,16,FALSE),IF($C$1='Adj-Mixed'!$A$19,VLOOKUP(A116,'337'!$A$7:$AB$188,25,FALSE)))))</f>
        <v>2.6148031846800452</v>
      </c>
      <c r="G116" s="27">
        <f t="shared" si="20"/>
        <v>166.03674597945809</v>
      </c>
      <c r="H116" s="1"/>
      <c r="I116" s="136">
        <f t="shared" si="21"/>
        <v>97.167994917946046</v>
      </c>
      <c r="J116" s="26">
        <f>IF(A116&gt;200,"",(C116*'Adj-Mixed'!$C$6))</f>
        <v>1097.685396745371</v>
      </c>
      <c r="K116" s="27">
        <f>IF(A116&gt;200,"",D116*'Adj-Mixed'!$C$7)</f>
        <v>0.3386327862553915</v>
      </c>
      <c r="L116" s="1">
        <f t="shared" si="22"/>
        <v>2.9530513304928951</v>
      </c>
      <c r="M116" s="27">
        <f t="shared" si="23"/>
        <v>3.2415213213215393</v>
      </c>
      <c r="N116" s="122">
        <f t="shared" si="24"/>
        <v>205.97089156907793</v>
      </c>
    </row>
    <row r="117" spans="1:14" x14ac:dyDescent="0.25">
      <c r="A117" s="22">
        <f t="shared" si="16"/>
        <v>135</v>
      </c>
      <c r="B117" s="28">
        <f>IF(A117&gt;200,"",IF($C$1='Adj-Mixed'!$A$21,VLOOKUP(A117,'337'!$A$6:$AB$188,4,FALSE),IF($C$1='Adj-Mixed'!$A$20,VLOOKUP(A117,'337'!$A$6:$AB$188,13,FALSE),IF($C$1='Adj-Mixed'!$A$19,VLOOKUP(A117,'337'!$A$6:$AB$188,22,FALSE)))))</f>
        <v>89.633090095852069</v>
      </c>
      <c r="C117" s="26">
        <f t="shared" si="17"/>
        <v>995.08859494702051</v>
      </c>
      <c r="D117" s="27">
        <f t="shared" si="18"/>
        <v>0.37972382272875171</v>
      </c>
      <c r="E117" s="27">
        <f>IF(A117&gt;200,"",IF($C$1='Adj-Mixed'!$A$21,VLOOKUP(A117,'337'!$A$7:$AB$188,10,FALSE),IF($C$1='Adj-Mixed'!$A$20,VLOOKUP(A117,'337'!$A$7:$AB$188,19,FALSE),IF($C$1='Adj-Mixed'!$A$19,VLOOKUP(A117,'337'!$A$7:$AB$188,28,FALSE)))))</f>
        <v>2.6334929233932485</v>
      </c>
      <c r="F117" s="27">
        <f>IF(A117&gt;200,"",IF($C$1='Adj-Mixed'!$A$21,VLOOKUP(A117,'337'!$A$7:$AB$188,7,FALSE),IF($C$1='Adj-Mixed'!$A$20,VLOOKUP(A117,'337'!$A$7:$AB$188,16,FALSE),IF($C$1='Adj-Mixed'!$A$19,VLOOKUP(A117,'337'!$A$7:$AB$188,25,FALSE)))))</f>
        <v>2.6247532484639819</v>
      </c>
      <c r="G117" s="27">
        <f t="shared" si="20"/>
        <v>168.66149922792206</v>
      </c>
      <c r="H117" s="1"/>
      <c r="I117" s="136">
        <f t="shared" si="21"/>
        <v>98.264965069636901</v>
      </c>
      <c r="J117" s="26">
        <f>IF(A117&gt;200,"",(C117*'Adj-Mixed'!$C$6))</f>
        <v>1096.970151690854</v>
      </c>
      <c r="K117" s="27">
        <f>IF(A117&gt;200,"",D117*'Adj-Mixed'!$C$7)</f>
        <v>0.33712247712669363</v>
      </c>
      <c r="L117" s="1">
        <f t="shared" si="22"/>
        <v>2.9662810042303738</v>
      </c>
      <c r="M117" s="27">
        <f t="shared" si="23"/>
        <v>3.2539217231682915</v>
      </c>
      <c r="N117" s="122">
        <f t="shared" si="24"/>
        <v>209.22481329224624</v>
      </c>
    </row>
    <row r="118" spans="1:14" x14ac:dyDescent="0.25">
      <c r="A118" s="22">
        <f t="shared" si="16"/>
        <v>136</v>
      </c>
      <c r="B118" s="28">
        <f>IF(A118&gt;200,"",IF($C$1='Adj-Mixed'!$A$21,VLOOKUP(A118,'337'!$A$6:$AB$188,4,FALSE),IF($C$1='Adj-Mixed'!$A$20,VLOOKUP(A118,'337'!$A$6:$AB$188,13,FALSE),IF($C$1='Adj-Mixed'!$A$19,VLOOKUP(A118,'337'!$A$6:$AB$188,22,FALSE)))))</f>
        <v>90.627430678941849</v>
      </c>
      <c r="C118" s="26">
        <f t="shared" si="17"/>
        <v>994.34058308978024</v>
      </c>
      <c r="D118" s="27">
        <f t="shared" si="18"/>
        <v>0.37803320783567451</v>
      </c>
      <c r="E118" s="27">
        <f>IF(A118&gt;200,"",IF($C$1='Adj-Mixed'!$A$21,VLOOKUP(A118,'337'!$A$7:$AB$188,10,FALSE),IF($C$1='Adj-Mixed'!$A$20,VLOOKUP(A118,'337'!$A$7:$AB$188,19,FALSE),IF($C$1='Adj-Mixed'!$A$19,VLOOKUP(A118,'337'!$A$7:$AB$188,28,FALSE)))))</f>
        <v>2.6452702547620772</v>
      </c>
      <c r="F118" s="27">
        <f>IF(A118&gt;200,"",IF($C$1='Adj-Mixed'!$A$21,VLOOKUP(A118,'337'!$A$7:$AB$188,7,FALSE),IF($C$1='Adj-Mixed'!$A$20,VLOOKUP(A118,'337'!$A$7:$AB$188,16,FALSE),IF($C$1='Adj-Mixed'!$A$19,VLOOKUP(A118,'337'!$A$7:$AB$188,25,FALSE)))))</f>
        <v>2.6344547654495694</v>
      </c>
      <c r="G118" s="27">
        <f t="shared" si="20"/>
        <v>171.29595399337163</v>
      </c>
      <c r="H118" s="1"/>
      <c r="I118" s="136">
        <f t="shared" si="21"/>
        <v>99.361110624719302</v>
      </c>
      <c r="J118" s="26">
        <f>IF(A118&gt;200,"",(C118*'Adj-Mixed'!$C$6))</f>
        <v>1096.145555082401</v>
      </c>
      <c r="K118" s="27">
        <f>IF(A118&gt;200,"",D118*'Adj-Mixed'!$C$7)</f>
        <v>0.33562153289694852</v>
      </c>
      <c r="L118" s="1">
        <f t="shared" si="22"/>
        <v>2.9795466082536688</v>
      </c>
      <c r="M118" s="27">
        <f t="shared" si="23"/>
        <v>3.2660167707981023</v>
      </c>
      <c r="N118" s="122">
        <f t="shared" si="24"/>
        <v>212.49083006304434</v>
      </c>
    </row>
    <row r="119" spans="1:14" x14ac:dyDescent="0.25">
      <c r="A119" s="22">
        <f t="shared" si="16"/>
        <v>137</v>
      </c>
      <c r="B119" s="28">
        <f>IF(A119&gt;200,"",IF($C$1='Adj-Mixed'!$A$21,VLOOKUP(A119,'337'!$A$6:$AB$188,4,FALSE),IF($C$1='Adj-Mixed'!$A$20,VLOOKUP(A119,'337'!$A$6:$AB$188,13,FALSE),IF($C$1='Adj-Mixed'!$A$19,VLOOKUP(A119,'337'!$A$6:$AB$188,22,FALSE)))))</f>
        <v>91.620925829347712</v>
      </c>
      <c r="C119" s="26">
        <f t="shared" si="17"/>
        <v>993.49515040586311</v>
      </c>
      <c r="D119" s="27">
        <f t="shared" si="18"/>
        <v>0.37635243758489501</v>
      </c>
      <c r="E119" s="27">
        <f>IF(A119&gt;200,"",IF($C$1='Adj-Mixed'!$A$21,VLOOKUP(A119,'337'!$A$7:$AB$188,10,FALSE),IF($C$1='Adj-Mixed'!$A$20,VLOOKUP(A119,'337'!$A$7:$AB$188,19,FALSE),IF($C$1='Adj-Mixed'!$A$19,VLOOKUP(A119,'337'!$A$7:$AB$188,28,FALSE)))))</f>
        <v>2.6570838930050158</v>
      </c>
      <c r="F119" s="27">
        <f>IF(A119&gt;200,"",IF($C$1='Adj-Mixed'!$A$21,VLOOKUP(A119,'337'!$A$7:$AB$188,7,FALSE),IF($C$1='Adj-Mixed'!$A$20,VLOOKUP(A119,'337'!$A$7:$AB$188,16,FALSE),IF($C$1='Adj-Mixed'!$A$19,VLOOKUP(A119,'337'!$A$7:$AB$188,25,FALSE)))))</f>
        <v>2.6439134405935216</v>
      </c>
      <c r="G119" s="27">
        <f t="shared" si="20"/>
        <v>173.93986743396513</v>
      </c>
      <c r="H119" s="1"/>
      <c r="I119" s="136">
        <f t="shared" si="21"/>
        <v>100.45632418799291</v>
      </c>
      <c r="J119" s="26">
        <f>IF(A119&gt;200,"",(C119*'Adj-Mixed'!$C$6))</f>
        <v>1095.213563273601</v>
      </c>
      <c r="K119" s="27">
        <f>IF(A119&gt;200,"",D119*'Adj-Mixed'!$C$7)</f>
        <v>0.33412932883571322</v>
      </c>
      <c r="L119" s="1">
        <f t="shared" si="22"/>
        <v>2.9928531071622455</v>
      </c>
      <c r="M119" s="27">
        <f t="shared" si="23"/>
        <v>3.2778133158496314</v>
      </c>
      <c r="N119" s="122">
        <f t="shared" si="24"/>
        <v>215.76864337889398</v>
      </c>
    </row>
    <row r="120" spans="1:14" x14ac:dyDescent="0.25">
      <c r="A120" s="22">
        <f t="shared" si="16"/>
        <v>138</v>
      </c>
      <c r="B120" s="28">
        <f>IF(A120&gt;200,"",IF($C$1='Adj-Mixed'!$A$21,VLOOKUP(A120,'337'!$A$6:$AB$188,4,FALSE),IF($C$1='Adj-Mixed'!$A$20,VLOOKUP(A120,'337'!$A$6:$AB$188,13,FALSE),IF($C$1='Adj-Mixed'!$A$19,VLOOKUP(A120,'337'!$A$6:$AB$188,22,FALSE)))))</f>
        <v>92.613479900951688</v>
      </c>
      <c r="C120" s="26">
        <f t="shared" si="17"/>
        <v>992.55407160397624</v>
      </c>
      <c r="D120" s="27">
        <f t="shared" si="18"/>
        <v>0.37468084375442429</v>
      </c>
      <c r="E120" s="27">
        <f>IF(A120&gt;200,"",IF($C$1='Adj-Mixed'!$A$21,VLOOKUP(A120,'337'!$A$7:$AB$188,10,FALSE),IF($C$1='Adj-Mixed'!$A$20,VLOOKUP(A120,'337'!$A$7:$AB$188,19,FALSE),IF($C$1='Adj-Mixed'!$A$19,VLOOKUP(A120,'337'!$A$7:$AB$188,28,FALSE)))))</f>
        <v>2.6689381554169511</v>
      </c>
      <c r="F120" s="27">
        <f>IF(A120&gt;200,"",IF($C$1='Adj-Mixed'!$A$21,VLOOKUP(A120,'337'!$A$7:$AB$188,7,FALSE),IF($C$1='Adj-Mixed'!$A$20,VLOOKUP(A120,'337'!$A$7:$AB$188,16,FALSE),IF($C$1='Adj-Mixed'!$A$19,VLOOKUP(A120,'337'!$A$7:$AB$188,25,FALSE)))))</f>
        <v>2.6531349341982757</v>
      </c>
      <c r="G120" s="27">
        <f t="shared" si="20"/>
        <v>176.59300236816341</v>
      </c>
      <c r="H120" s="1"/>
      <c r="I120" s="136">
        <f t="shared" si="21"/>
        <v>101.55050032066856</v>
      </c>
      <c r="J120" s="26">
        <f>IF(A120&gt;200,"",(C120*'Adj-Mixed'!$C$6))</f>
        <v>1094.1761326756614</v>
      </c>
      <c r="K120" s="27">
        <f>IF(A120&gt;200,"",D120*'Adj-Mixed'!$C$7)</f>
        <v>0.33264527168905234</v>
      </c>
      <c r="L120" s="1">
        <f t="shared" si="22"/>
        <v>3.0062053638170227</v>
      </c>
      <c r="M120" s="27">
        <f t="shared" si="23"/>
        <v>3.2893181590101399</v>
      </c>
      <c r="N120" s="122">
        <f t="shared" si="24"/>
        <v>219.05796153790413</v>
      </c>
    </row>
    <row r="121" spans="1:14" x14ac:dyDescent="0.25">
      <c r="A121" s="22">
        <f t="shared" si="16"/>
        <v>139</v>
      </c>
      <c r="B121" s="28">
        <f>IF(A121&gt;200,"",IF($C$1='Adj-Mixed'!$A$21,VLOOKUP(A121,'337'!$A$6:$AB$188,4,FALSE),IF($C$1='Adj-Mixed'!$A$20,VLOOKUP(A121,'337'!$A$6:$AB$188,13,FALSE),IF($C$1='Adj-Mixed'!$A$19,VLOOKUP(A121,'337'!$A$6:$AB$188,22,FALSE)))))</f>
        <v>93.604999021384103</v>
      </c>
      <c r="C121" s="26">
        <f t="shared" si="17"/>
        <v>991.51912043241452</v>
      </c>
      <c r="D121" s="27">
        <f t="shared" si="18"/>
        <v>0.37301779253381456</v>
      </c>
      <c r="E121" s="27">
        <f>IF(A121&gt;200,"",IF($C$1='Adj-Mixed'!$A$21,VLOOKUP(A121,'337'!$A$7:$AB$188,10,FALSE),IF($C$1='Adj-Mixed'!$A$20,VLOOKUP(A121,'337'!$A$7:$AB$188,19,FALSE),IF($C$1='Adj-Mixed'!$A$19,VLOOKUP(A121,'337'!$A$7:$AB$188,28,FALSE)))))</f>
        <v>2.6808372683974548</v>
      </c>
      <c r="F121" s="27">
        <f>IF(A121&gt;200,"",IF($C$1='Adj-Mixed'!$A$21,VLOOKUP(A121,'337'!$A$7:$AB$188,7,FALSE),IF($C$1='Adj-Mixed'!$A$20,VLOOKUP(A121,'337'!$A$7:$AB$188,16,FALSE),IF($C$1='Adj-Mixed'!$A$19,VLOOKUP(A121,'337'!$A$7:$AB$188,25,FALSE)))))</f>
        <v>2.6621248551406649</v>
      </c>
      <c r="G121" s="27">
        <f t="shared" si="20"/>
        <v>179.25512722330407</v>
      </c>
      <c r="H121" s="1"/>
      <c r="I121" s="136">
        <f t="shared" si="21"/>
        <v>102.64353553930961</v>
      </c>
      <c r="J121" s="26">
        <f>IF(A121&gt;200,"",(C121*'Adj-Mixed'!$C$6))</f>
        <v>1093.035218641046</v>
      </c>
      <c r="K121" s="27">
        <f>IF(A121&gt;200,"",D121*'Adj-Mixed'!$C$7)</f>
        <v>0.33116879875392913</v>
      </c>
      <c r="L121" s="1">
        <f t="shared" si="22"/>
        <v>3.0196081386973828</v>
      </c>
      <c r="M121" s="27">
        <f t="shared" si="23"/>
        <v>3.3005380420913752</v>
      </c>
      <c r="N121" s="122">
        <f t="shared" si="24"/>
        <v>222.35849957999551</v>
      </c>
    </row>
    <row r="122" spans="1:14" x14ac:dyDescent="0.25">
      <c r="A122" s="22">
        <f t="shared" si="16"/>
        <v>140</v>
      </c>
      <c r="B122" s="28">
        <f>IF(A122&gt;200,"",IF($C$1='Adj-Mixed'!$A$21,VLOOKUP(A122,'337'!$A$6:$AB$188,4,FALSE),IF($C$1='Adj-Mixed'!$A$20,VLOOKUP(A122,'337'!$A$6:$AB$188,13,FALSE),IF($C$1='Adj-Mixed'!$A$19,VLOOKUP(A122,'337'!$A$6:$AB$188,22,FALSE)))))</f>
        <v>94.595391090081876</v>
      </c>
      <c r="C122" s="26">
        <f t="shared" si="17"/>
        <v>990.39206869777274</v>
      </c>
      <c r="D122" s="27">
        <f t="shared" si="18"/>
        <v>0.37136268349308893</v>
      </c>
      <c r="E122" s="27">
        <f>IF(A122&gt;200,"",IF($C$1='Adj-Mixed'!$A$21,VLOOKUP(A122,'337'!$A$7:$AB$188,10,FALSE),IF($C$1='Adj-Mixed'!$A$20,VLOOKUP(A122,'337'!$A$7:$AB$188,19,FALSE),IF($C$1='Adj-Mixed'!$A$19,VLOOKUP(A122,'337'!$A$7:$AB$188,28,FALSE)))))</f>
        <v>2.6927853671075974</v>
      </c>
      <c r="F122" s="27">
        <f>IF(A122&gt;200,"",IF($C$1='Adj-Mixed'!$A$21,VLOOKUP(A122,'337'!$A$7:$AB$188,7,FALSE),IF($C$1='Adj-Mixed'!$A$20,VLOOKUP(A122,'337'!$A$7:$AB$188,16,FALSE),IF($C$1='Adj-Mixed'!$A$19,VLOOKUP(A122,'337'!$A$7:$AB$188,25,FALSE)))))</f>
        <v>2.670888754662756</v>
      </c>
      <c r="G122" s="27">
        <f t="shared" si="20"/>
        <v>181.92601597796684</v>
      </c>
      <c r="H122" s="1"/>
      <c r="I122" s="136">
        <f t="shared" si="21"/>
        <v>103.73532831369133</v>
      </c>
      <c r="J122" s="26">
        <f>IF(A122&gt;200,"",(C122*'Adj-Mixed'!$C$6))</f>
        <v>1091.7927743817193</v>
      </c>
      <c r="K122" s="27">
        <f>IF(A122&gt;200,"",D122*'Adj-Mixed'!$C$7)</f>
        <v>0.32969937696281126</v>
      </c>
      <c r="L122" s="1">
        <f t="shared" si="22"/>
        <v>3.0330660895146182</v>
      </c>
      <c r="M122" s="27">
        <f t="shared" si="23"/>
        <v>3.3114796407542775</v>
      </c>
      <c r="N122" s="122">
        <f t="shared" si="24"/>
        <v>225.66997922074978</v>
      </c>
    </row>
    <row r="123" spans="1:14" x14ac:dyDescent="0.25">
      <c r="A123" s="22">
        <f t="shared" si="16"/>
        <v>141</v>
      </c>
      <c r="B123" s="28">
        <f>IF(A123&gt;200,"",IF($C$1='Adj-Mixed'!$A$21,VLOOKUP(A123,'337'!$A$6:$AB$188,4,FALSE),IF($C$1='Adj-Mixed'!$A$20,VLOOKUP(A123,'337'!$A$6:$AB$188,13,FALSE),IF($C$1='Adj-Mixed'!$A$19,VLOOKUP(A123,'337'!$A$6:$AB$188,22,FALSE)))))</f>
        <v>95.584565775395973</v>
      </c>
      <c r="C123" s="26">
        <f t="shared" si="17"/>
        <v>989.17468531409725</v>
      </c>
      <c r="D123" s="27">
        <f t="shared" si="18"/>
        <v>0.36971494856325676</v>
      </c>
      <c r="E123" s="27">
        <f>IF(A123&gt;200,"",IF($C$1='Adj-Mixed'!$A$21,VLOOKUP(A123,'337'!$A$7:$AB$188,10,FALSE),IF($C$1='Adj-Mixed'!$A$20,VLOOKUP(A123,'337'!$A$7:$AB$188,19,FALSE),IF($C$1='Adj-Mixed'!$A$19,VLOOKUP(A123,'337'!$A$7:$AB$188,28,FALSE)))))</f>
        <v>2.7047864953421108</v>
      </c>
      <c r="F123" s="27">
        <f>IF(A123&gt;200,"",IF($C$1='Adj-Mixed'!$A$21,VLOOKUP(A123,'337'!$A$7:$AB$188,7,FALSE),IF($C$1='Adj-Mixed'!$A$20,VLOOKUP(A123,'337'!$A$7:$AB$188,16,FALSE),IF($C$1='Adj-Mixed'!$A$19,VLOOKUP(A123,'337'!$A$7:$AB$188,25,FALSE)))))</f>
        <v>2.6794321207047407</v>
      </c>
      <c r="G123" s="27">
        <f t="shared" si="20"/>
        <v>184.60544809867159</v>
      </c>
      <c r="H123" s="1"/>
      <c r="I123" s="136">
        <f t="shared" si="21"/>
        <v>104.82577906361227</v>
      </c>
      <c r="J123" s="26">
        <f>IF(A123&gt;200,"",(C123*'Adj-Mixed'!$C$6))</f>
        <v>1090.4507499209449</v>
      </c>
      <c r="K123" s="27">
        <f>IF(A123&gt;200,"",D123*'Adj-Mixed'!$C$7)</f>
        <v>0.32823650197856252</v>
      </c>
      <c r="L123" s="1">
        <f t="shared" si="22"/>
        <v>3.0465837710679451</v>
      </c>
      <c r="M123" s="27">
        <f t="shared" si="23"/>
        <v>3.3221495578580207</v>
      </c>
      <c r="N123" s="122">
        <f t="shared" si="24"/>
        <v>228.99212877860779</v>
      </c>
    </row>
    <row r="124" spans="1:14" x14ac:dyDescent="0.25">
      <c r="A124" s="22">
        <f t="shared" si="16"/>
        <v>142</v>
      </c>
      <c r="B124" s="28">
        <f>IF(A124&gt;200,"",IF($C$1='Adj-Mixed'!$A$21,VLOOKUP(A124,'337'!$A$6:$AB$188,4,FALSE),IF($C$1='Adj-Mixed'!$A$20,VLOOKUP(A124,'337'!$A$6:$AB$188,13,FALSE),IF($C$1='Adj-Mixed'!$A$19,VLOOKUP(A124,'337'!$A$6:$AB$188,22,FALSE)))))</f>
        <v>96.572434510779274</v>
      </c>
      <c r="C124" s="26">
        <f t="shared" si="17"/>
        <v>987.86873538330155</v>
      </c>
      <c r="D124" s="27">
        <f t="shared" si="18"/>
        <v>0.36807405102896368</v>
      </c>
      <c r="E124" s="27">
        <f>IF(A124&gt;200,"",IF($C$1='Adj-Mixed'!$A$21,VLOOKUP(A124,'337'!$A$7:$AB$188,10,FALSE),IF($C$1='Adj-Mixed'!$A$20,VLOOKUP(A124,'337'!$A$7:$AB$188,19,FALSE),IF($C$1='Adj-Mixed'!$A$19,VLOOKUP(A124,'337'!$A$7:$AB$188,28,FALSE)))))</f>
        <v>2.7168446056016871</v>
      </c>
      <c r="F124" s="27">
        <f>IF(A124&gt;200,"",IF($C$1='Adj-Mixed'!$A$21,VLOOKUP(A124,'337'!$A$7:$AB$188,7,FALSE),IF($C$1='Adj-Mixed'!$A$20,VLOOKUP(A124,'337'!$A$7:$AB$188,16,FALSE),IF($C$1='Adj-Mixed'!$A$19,VLOOKUP(A124,'337'!$A$7:$AB$188,25,FALSE)))))</f>
        <v>2.6877603727591248</v>
      </c>
      <c r="G124" s="27">
        <f t="shared" si="20"/>
        <v>187.29320847143072</v>
      </c>
      <c r="H124" s="1"/>
      <c r="I124" s="136">
        <f t="shared" si="21"/>
        <v>105.91479015469183</v>
      </c>
      <c r="J124" s="26">
        <f>IF(A124&gt;200,"",(C124*'Adj-Mixed'!$C$6))</f>
        <v>1089.0110910795511</v>
      </c>
      <c r="K124" s="27">
        <f>IF(A124&gt;200,"",D124*'Adj-Mixed'!$C$7)</f>
        <v>0.32677969730010775</v>
      </c>
      <c r="L124" s="1">
        <f t="shared" si="22"/>
        <v>3.0601656353259319</v>
      </c>
      <c r="M124" s="27">
        <f t="shared" si="23"/>
        <v>3.3325543174104411</v>
      </c>
      <c r="N124" s="122">
        <f t="shared" si="24"/>
        <v>232.32468309601825</v>
      </c>
    </row>
    <row r="125" spans="1:14" x14ac:dyDescent="0.25">
      <c r="A125" s="22">
        <f t="shared" si="16"/>
        <v>143</v>
      </c>
      <c r="B125" s="28">
        <f>IF(A125&gt;200,"",IF($C$1='Adj-Mixed'!$A$21,VLOOKUP(A125,'337'!$A$6:$AB$188,4,FALSE),IF($C$1='Adj-Mixed'!$A$20,VLOOKUP(A125,'337'!$A$6:$AB$188,13,FALSE),IF($C$1='Adj-Mixed'!$A$19,VLOOKUP(A125,'337'!$A$6:$AB$188,22,FALSE)))))</f>
        <v>97.55891049008531</v>
      </c>
      <c r="C125" s="26">
        <f t="shared" si="17"/>
        <v>986.47597930603581</v>
      </c>
      <c r="D125" s="27">
        <f t="shared" si="18"/>
        <v>0.36643948453337011</v>
      </c>
      <c r="E125" s="27">
        <f>IF(A125&gt;200,"",IF($C$1='Adj-Mixed'!$A$21,VLOOKUP(A125,'337'!$A$7:$AB$188,10,FALSE),IF($C$1='Adj-Mixed'!$A$20,VLOOKUP(A125,'337'!$A$7:$AB$188,19,FALSE),IF($C$1='Adj-Mixed'!$A$19,VLOOKUP(A125,'337'!$A$7:$AB$188,28,FALSE)))))</f>
        <v>2.7289635593539163</v>
      </c>
      <c r="F125" s="27">
        <f>IF(A125&gt;200,"",IF($C$1='Adj-Mixed'!$A$21,VLOOKUP(A125,'337'!$A$7:$AB$188,7,FALSE),IF($C$1='Adj-Mixed'!$A$20,VLOOKUP(A125,'337'!$A$7:$AB$188,16,FALSE),IF($C$1='Adj-Mixed'!$A$19,VLOOKUP(A125,'337'!$A$7:$AB$188,25,FALSE)))))</f>
        <v>2.6958788572249639</v>
      </c>
      <c r="G125" s="27">
        <f t="shared" si="20"/>
        <v>189.98908732865567</v>
      </c>
      <c r="H125" s="1"/>
      <c r="I125" s="136">
        <f t="shared" si="21"/>
        <v>107.0022658931876</v>
      </c>
      <c r="J125" s="26">
        <f>IF(A125&gt;200,"",(C125*'Adj-Mixed'!$C$6))</f>
        <v>1087.4757384957666</v>
      </c>
      <c r="K125" s="27">
        <f>IF(A125&gt;200,"",D125*'Adj-Mixed'!$C$7)</f>
        <v>0.32532851337895452</v>
      </c>
      <c r="L125" s="1">
        <f t="shared" si="22"/>
        <v>3.0738160317204151</v>
      </c>
      <c r="M125" s="27">
        <f t="shared" si="23"/>
        <v>3.3427003590952848</v>
      </c>
      <c r="N125" s="122">
        <f t="shared" si="24"/>
        <v>235.66738345511354</v>
      </c>
    </row>
    <row r="126" spans="1:14" x14ac:dyDescent="0.25">
      <c r="A126" s="22">
        <f t="shared" si="16"/>
        <v>144</v>
      </c>
      <c r="B126" s="28">
        <f>IF(A126&gt;200,"",IF($C$1='Adj-Mixed'!$A$21,VLOOKUP(A126,'337'!$A$6:$AB$188,4,FALSE),IF($C$1='Adj-Mixed'!$A$20,VLOOKUP(A126,'337'!$A$6:$AB$188,13,FALSE),IF($C$1='Adj-Mixed'!$A$19,VLOOKUP(A126,'337'!$A$6:$AB$188,22,FALSE)))))</f>
        <v>98.543908662008747</v>
      </c>
      <c r="C126" s="26">
        <f t="shared" si="17"/>
        <v>984.99817192343642</v>
      </c>
      <c r="D126" s="27">
        <f t="shared" si="18"/>
        <v>0.3648107720959391</v>
      </c>
      <c r="E126" s="27">
        <f>IF(A126&gt;200,"",IF($C$1='Adj-Mixed'!$A$21,VLOOKUP(A126,'337'!$A$7:$AB$188,10,FALSE),IF($C$1='Adj-Mixed'!$A$20,VLOOKUP(A126,'337'!$A$7:$AB$188,19,FALSE),IF($C$1='Adj-Mixed'!$A$19,VLOOKUP(A126,'337'!$A$7:$AB$188,28,FALSE)))))</f>
        <v>2.741147127467543</v>
      </c>
      <c r="F126" s="27">
        <f>IF(A126&gt;200,"",IF($C$1='Adj-Mixed'!$A$21,VLOOKUP(A126,'337'!$A$7:$AB$188,7,FALSE),IF($C$1='Adj-Mixed'!$A$20,VLOOKUP(A126,'337'!$A$7:$AB$188,16,FALSE),IF($C$1='Adj-Mixed'!$A$19,VLOOKUP(A126,'337'!$A$7:$AB$188,25,FALSE)))))</f>
        <v>2.7037928432405232</v>
      </c>
      <c r="G126" s="27">
        <f t="shared" si="20"/>
        <v>192.69288017189621</v>
      </c>
      <c r="H126" s="1"/>
      <c r="I126" s="136">
        <f t="shared" si="21"/>
        <v>108.0881125198667</v>
      </c>
      <c r="J126" s="26">
        <f>IF(A126&gt;200,"",(C126*'Adj-Mixed'!$C$6))</f>
        <v>1085.8466266790983</v>
      </c>
      <c r="K126" s="27">
        <f>IF(A126&gt;200,"",D126*'Adj-Mixed'!$C$7)</f>
        <v>0.32388252674717555</v>
      </c>
      <c r="L126" s="1">
        <f t="shared" si="22"/>
        <v>3.0875392076356296</v>
      </c>
      <c r="M126" s="27">
        <f t="shared" si="23"/>
        <v>3.3525940333506044</v>
      </c>
      <c r="N126" s="122">
        <f t="shared" si="24"/>
        <v>239.01997748846415</v>
      </c>
    </row>
    <row r="127" spans="1:14" x14ac:dyDescent="0.25">
      <c r="A127" s="22">
        <f t="shared" si="16"/>
        <v>145</v>
      </c>
      <c r="B127" s="28">
        <f>IF(A127&gt;200,"",IF($C$1='Adj-Mixed'!$A$21,VLOOKUP(A127,'337'!$A$6:$AB$188,4,FALSE),IF($C$1='Adj-Mixed'!$A$20,VLOOKUP(A127,'337'!$A$6:$AB$188,13,FALSE),IF($C$1='Adj-Mixed'!$A$19,VLOOKUP(A127,'337'!$A$6:$AB$188,22,FALSE)))))</f>
        <v>99.527345723697806</v>
      </c>
      <c r="C127" s="26">
        <f t="shared" si="17"/>
        <v>983.43706168905953</v>
      </c>
      <c r="D127" s="27">
        <f t="shared" si="18"/>
        <v>0.36318746514326894</v>
      </c>
      <c r="E127" s="27">
        <f>IF(A127&gt;200,"",IF($C$1='Adj-Mixed'!$A$21,VLOOKUP(A127,'337'!$A$7:$AB$188,10,FALSE),IF($C$1='Adj-Mixed'!$A$20,VLOOKUP(A127,'337'!$A$7:$AB$188,19,FALSE),IF($C$1='Adj-Mixed'!$A$19,VLOOKUP(A127,'337'!$A$7:$AB$188,28,FALSE)))))</f>
        <v>2.7533989908091225</v>
      </c>
      <c r="F127" s="27">
        <f>IF(A127&gt;200,"",IF($C$1='Adj-Mixed'!$A$21,VLOOKUP(A127,'337'!$A$7:$AB$188,7,FALSE),IF($C$1='Adj-Mixed'!$A$20,VLOOKUP(A127,'337'!$A$7:$AB$188,16,FALSE),IF($C$1='Adj-Mixed'!$A$19,VLOOKUP(A127,'337'!$A$7:$AB$188,25,FALSE)))))</f>
        <v>2.711507518972577</v>
      </c>
      <c r="G127" s="27">
        <f t="shared" si="20"/>
        <v>195.40438769086879</v>
      </c>
      <c r="H127" s="1"/>
      <c r="I127" s="136">
        <f t="shared" si="21"/>
        <v>109.17223820296418</v>
      </c>
      <c r="J127" s="26">
        <f>IF(A127&gt;200,"",(C127*'Adj-Mixed'!$C$6))</f>
        <v>1084.1256830974851</v>
      </c>
      <c r="K127" s="27">
        <f>IF(A127&gt;200,"",D127*'Adj-Mixed'!$C$7)</f>
        <v>0.32244133915697248</v>
      </c>
      <c r="L127" s="1">
        <f t="shared" si="22"/>
        <v>3.1013393090802635</v>
      </c>
      <c r="M127" s="27">
        <f t="shared" si="23"/>
        <v>3.3622415969737229</v>
      </c>
      <c r="N127" s="122">
        <f t="shared" si="24"/>
        <v>242.38221908543787</v>
      </c>
    </row>
    <row r="128" spans="1:14" x14ac:dyDescent="0.25">
      <c r="A128" s="22">
        <f t="shared" si="16"/>
        <v>146</v>
      </c>
      <c r="B128" s="28">
        <f>IF(A128&gt;200,"",IF($C$1='Adj-Mixed'!$A$21,VLOOKUP(A128,'337'!$A$6:$AB$188,4,FALSE),IF($C$1='Adj-Mixed'!$A$20,VLOOKUP(A128,'337'!$A$6:$AB$188,13,FALSE),IF($C$1='Adj-Mixed'!$A$19,VLOOKUP(A128,'337'!$A$6:$AB$188,22,FALSE)))))</f>
        <v>100.50914011356888</v>
      </c>
      <c r="C128" s="26">
        <f t="shared" si="17"/>
        <v>981.79438987106948</v>
      </c>
      <c r="D128" s="27">
        <f t="shared" si="18"/>
        <v>0.36156914255340139</v>
      </c>
      <c r="E128" s="27">
        <f>IF(A128&gt;200,"",IF($C$1='Adj-Mixed'!$A$21,VLOOKUP(A128,'337'!$A$7:$AB$188,10,FALSE),IF($C$1='Adj-Mixed'!$A$20,VLOOKUP(A128,'337'!$A$7:$AB$188,19,FALSE),IF($C$1='Adj-Mixed'!$A$19,VLOOKUP(A128,'337'!$A$7:$AB$188,28,FALSE)))))</f>
        <v>2.765722740989454</v>
      </c>
      <c r="F128" s="27">
        <f>IF(A128&gt;200,"",IF($C$1='Adj-Mixed'!$A$21,VLOOKUP(A128,'337'!$A$7:$AB$188,7,FALSE),IF($C$1='Adj-Mixed'!$A$20,VLOOKUP(A128,'337'!$A$7:$AB$188,16,FALSE),IF($C$1='Adj-Mixed'!$A$19,VLOOKUP(A128,'337'!$A$7:$AB$188,25,FALSE)))))</f>
        <v>2.7190279883404167</v>
      </c>
      <c r="G128" s="27">
        <f t="shared" si="20"/>
        <v>198.12341567920922</v>
      </c>
      <c r="H128" s="1"/>
      <c r="I128" s="136">
        <f t="shared" si="21"/>
        <v>110.25455303026199</v>
      </c>
      <c r="J128" s="26">
        <f>IF(A128&gt;200,"",(C128*'Adj-Mixed'!$C$6))</f>
        <v>1082.3148272978015</v>
      </c>
      <c r="K128" s="27">
        <f>IF(A128&gt;200,"",D128*'Adj-Mixed'!$C$7)</f>
        <v>0.32100457673220367</v>
      </c>
      <c r="L128" s="1">
        <f t="shared" si="22"/>
        <v>3.1152203815282191</v>
      </c>
      <c r="M128" s="27">
        <f t="shared" si="23"/>
        <v>3.3716492092283055</v>
      </c>
      <c r="N128" s="122">
        <f t="shared" si="24"/>
        <v>245.75386829466618</v>
      </c>
    </row>
    <row r="129" spans="1:14" x14ac:dyDescent="0.25">
      <c r="A129" s="22">
        <f t="shared" si="16"/>
        <v>147</v>
      </c>
      <c r="B129" s="28">
        <f>IF(A129&gt;200,"",IF($C$1='Adj-Mixed'!$A$21,VLOOKUP(A129,'337'!$A$6:$AB$188,4,FALSE),IF($C$1='Adj-Mixed'!$A$20,VLOOKUP(A129,'337'!$A$6:$AB$188,13,FALSE),IF($C$1='Adj-Mixed'!$A$19,VLOOKUP(A129,'337'!$A$6:$AB$188,22,FALSE)))))</f>
        <v>101.48921200335343</v>
      </c>
      <c r="C129" s="26">
        <f t="shared" si="17"/>
        <v>980.07188978455417</v>
      </c>
      <c r="D129" s="27">
        <f t="shared" si="18"/>
        <v>0.35995540971420914</v>
      </c>
      <c r="E129" s="27">
        <f>IF(A129&gt;200,"",IF($C$1='Adj-Mixed'!$A$21,VLOOKUP(A129,'337'!$A$7:$AB$188,10,FALSE),IF($C$1='Adj-Mixed'!$A$20,VLOOKUP(A129,'337'!$A$7:$AB$188,19,FALSE),IF($C$1='Adj-Mixed'!$A$19,VLOOKUP(A129,'337'!$A$7:$AB$188,28,FALSE)))))</f>
        <v>2.7781218812462405</v>
      </c>
      <c r="F129" s="27">
        <f>IF(A129&gt;200,"",IF($C$1='Adj-Mixed'!$A$21,VLOOKUP(A129,'337'!$A$7:$AB$188,7,FALSE),IF($C$1='Adj-Mixed'!$A$20,VLOOKUP(A129,'337'!$A$7:$AB$188,16,FALSE),IF($C$1='Adj-Mixed'!$A$19,VLOOKUP(A129,'337'!$A$7:$AB$188,25,FALSE)))))</f>
        <v>2.7263592681527111</v>
      </c>
      <c r="G129" s="27">
        <f t="shared" si="20"/>
        <v>200.84977494736194</v>
      </c>
      <c r="H129" s="1"/>
      <c r="I129" s="136">
        <f t="shared" si="21"/>
        <v>111.33496900032156</v>
      </c>
      <c r="J129" s="26">
        <f>IF(A129&gt;200,"",(C129*'Adj-Mixed'!$C$6))</f>
        <v>1080.4159700595746</v>
      </c>
      <c r="K129" s="27">
        <f>IF(A129&gt;200,"",D129*'Adj-Mixed'!$C$7)</f>
        <v>0.31957188913241147</v>
      </c>
      <c r="L129" s="1">
        <f t="shared" si="22"/>
        <v>3.1291863709128052</v>
      </c>
      <c r="M129" s="27">
        <f t="shared" si="23"/>
        <v>3.3808229284269582</v>
      </c>
      <c r="N129" s="122">
        <f t="shared" si="24"/>
        <v>249.13469122309314</v>
      </c>
    </row>
    <row r="130" spans="1:14" x14ac:dyDescent="0.25">
      <c r="A130" s="22">
        <f t="shared" si="16"/>
        <v>148</v>
      </c>
      <c r="B130" s="28">
        <f>IF(A130&gt;200,"",IF($C$1='Adj-Mixed'!$A$21,VLOOKUP(A130,'337'!$A$6:$AB$188,4,FALSE),IF($C$1='Adj-Mixed'!$A$20,VLOOKUP(A130,'337'!$A$6:$AB$188,13,FALSE),IF($C$1='Adj-Mixed'!$A$19,VLOOKUP(A130,'337'!$A$6:$AB$188,22,FALSE)))))</f>
        <v>102.46748328940697</v>
      </c>
      <c r="C130" s="26">
        <f t="shared" si="17"/>
        <v>978.27128605354119</v>
      </c>
      <c r="D130" s="27">
        <f t="shared" si="18"/>
        <v>0.35834589759605417</v>
      </c>
      <c r="E130" s="27">
        <f>IF(A130&gt;200,"",IF($C$1='Adj-Mixed'!$A$21,VLOOKUP(A130,'337'!$A$7:$AB$188,10,FALSE),IF($C$1='Adj-Mixed'!$A$20,VLOOKUP(A130,'337'!$A$7:$AB$188,19,FALSE),IF($C$1='Adj-Mixed'!$A$19,VLOOKUP(A130,'337'!$A$7:$AB$188,28,FALSE)))))</f>
        <v>2.7905998274528905</v>
      </c>
      <c r="F130" s="27">
        <f>IF(A130&gt;200,"",IF($C$1='Adj-Mixed'!$A$21,VLOOKUP(A130,'337'!$A$7:$AB$188,7,FALSE),IF($C$1='Adj-Mixed'!$A$20,VLOOKUP(A130,'337'!$A$7:$AB$188,16,FALSE),IF($C$1='Adj-Mixed'!$A$19,VLOOKUP(A130,'337'!$A$7:$AB$188,25,FALSE)))))</f>
        <v>2.7335062856354675</v>
      </c>
      <c r="G130" s="27">
        <f t="shared" si="20"/>
        <v>203.58328123299739</v>
      </c>
      <c r="H130" s="1"/>
      <c r="I130" s="136">
        <f t="shared" si="21"/>
        <v>112.41340001290301</v>
      </c>
      <c r="J130" s="26">
        <f>IF(A130&gt;200,"",(C130*'Adj-Mixed'!$C$6))</f>
        <v>1078.431012581442</v>
      </c>
      <c r="K130" s="27">
        <f>IF(A130&gt;200,"",D130*'Adj-Mixed'!$C$7)</f>
        <v>0.31814294872951915</v>
      </c>
      <c r="L130" s="1">
        <f t="shared" si="22"/>
        <v>3.1432411247630276</v>
      </c>
      <c r="M130" s="27">
        <f t="shared" si="23"/>
        <v>3.3897687089658226</v>
      </c>
      <c r="N130" s="122">
        <f t="shared" si="24"/>
        <v>252.52445993205896</v>
      </c>
    </row>
    <row r="131" spans="1:14" x14ac:dyDescent="0.25">
      <c r="A131" s="22">
        <f t="shared" si="16"/>
        <v>149</v>
      </c>
      <c r="B131" s="28">
        <f>IF(A131&gt;200,"",IF($C$1='Adj-Mixed'!$A$21,VLOOKUP(A131,'337'!$A$6:$AB$188,4,FALSE),IF($C$1='Adj-Mixed'!$A$20,VLOOKUP(A131,'337'!$A$6:$AB$188,13,FALSE),IF($C$1='Adj-Mixed'!$A$19,VLOOKUP(A131,'337'!$A$6:$AB$188,22,FALSE)))))</f>
        <v>103.44387758330897</v>
      </c>
      <c r="C131" s="26">
        <f t="shared" si="17"/>
        <v>976.39429390200405</v>
      </c>
      <c r="D131" s="27">
        <f t="shared" si="18"/>
        <v>0.35674026183905788</v>
      </c>
      <c r="E131" s="27">
        <f>IF(A131&gt;200,"",IF($C$1='Adj-Mixed'!$A$21,VLOOKUP(A131,'337'!$A$7:$AB$188,10,FALSE),IF($C$1='Adj-Mixed'!$A$20,VLOOKUP(A131,'337'!$A$7:$AB$188,19,FALSE),IF($C$1='Adj-Mixed'!$A$19,VLOOKUP(A131,'337'!$A$7:$AB$188,28,FALSE)))))</f>
        <v>2.8031599092427264</v>
      </c>
      <c r="F131" s="27">
        <f>IF(A131&gt;200,"",IF($C$1='Adj-Mixed'!$A$21,VLOOKUP(A131,'337'!$A$7:$AB$188,7,FALSE),IF($C$1='Adj-Mixed'!$A$20,VLOOKUP(A131,'337'!$A$7:$AB$188,16,FALSE),IF($C$1='Adj-Mixed'!$A$19,VLOOKUP(A131,'337'!$A$7:$AB$188,25,FALSE)))))</f>
        <v>2.7404738763295624</v>
      </c>
      <c r="G131" s="27">
        <f t="shared" si="20"/>
        <v>206.32375510932695</v>
      </c>
      <c r="H131" s="1"/>
      <c r="I131" s="136">
        <f t="shared" si="21"/>
        <v>113.48976185860258</v>
      </c>
      <c r="J131" s="26">
        <f>IF(A131&gt;200,"",(C131*'Adj-Mixed'!$C$6))</f>
        <v>1076.3618456995687</v>
      </c>
      <c r="K131" s="27">
        <f>IF(A131&gt;200,"",D131*'Adj-Mixed'!$C$7)</f>
        <v>0.31671744979750072</v>
      </c>
      <c r="L131" s="1">
        <f t="shared" si="22"/>
        <v>3.1573883934698541</v>
      </c>
      <c r="M131" s="27">
        <f t="shared" si="23"/>
        <v>3.3984923987856086</v>
      </c>
      <c r="N131" s="122">
        <f t="shared" si="24"/>
        <v>255.92295233084457</v>
      </c>
    </row>
    <row r="132" spans="1:14" x14ac:dyDescent="0.25">
      <c r="A132" s="22">
        <f t="shared" si="16"/>
        <v>150</v>
      </c>
      <c r="B132" s="28">
        <f>IF(A132&gt;200,"",IF($C$1='Adj-Mixed'!$A$21,VLOOKUP(A132,'337'!$A$6:$AB$188,4,FALSE),IF($C$1='Adj-Mixed'!$A$20,VLOOKUP(A132,'337'!$A$6:$AB$188,13,FALSE),IF($C$1='Adj-Mixed'!$A$19,VLOOKUP(A132,'337'!$A$6:$AB$188,22,FALSE)))))</f>
        <v>104.41832020178349</v>
      </c>
      <c r="C132" s="26">
        <f t="shared" si="17"/>
        <v>974.4426184745123</v>
      </c>
      <c r="D132" s="27">
        <f t="shared" si="18"/>
        <v>0.35513818185563001</v>
      </c>
      <c r="E132" s="27">
        <f>IF(A132&gt;200,"",IF($C$1='Adj-Mixed'!$A$21,VLOOKUP(A132,'337'!$A$7:$AB$188,10,FALSE),IF($C$1='Adj-Mixed'!$A$20,VLOOKUP(A132,'337'!$A$7:$AB$188,19,FALSE),IF($C$1='Adj-Mixed'!$A$19,VLOOKUP(A132,'337'!$A$7:$AB$188,28,FALSE)))))</f>
        <v>2.8158053712358018</v>
      </c>
      <c r="F132" s="27">
        <f>IF(A132&gt;200,"",IF($C$1='Adj-Mixed'!$A$21,VLOOKUP(A132,'337'!$A$7:$AB$188,7,FALSE),IF($C$1='Adj-Mixed'!$A$20,VLOOKUP(A132,'337'!$A$7:$AB$188,16,FALSE),IF($C$1='Adj-Mixed'!$A$19,VLOOKUP(A132,'337'!$A$7:$AB$188,25,FALSE)))))</f>
        <v>2.7472667823366308</v>
      </c>
      <c r="G132" s="27">
        <f t="shared" si="20"/>
        <v>209.07102189166358</v>
      </c>
      <c r="H132" s="1"/>
      <c r="I132" s="136">
        <f t="shared" ref="I132:I163" si="25">IF(A132&gt;200,"",I131+(J132/1000))</f>
        <v>114.56397220774132</v>
      </c>
      <c r="J132" s="26">
        <f>IF(A132&gt;200,"",(C132*'Adj-Mixed'!$C$6))</f>
        <v>1074.2103491387415</v>
      </c>
      <c r="K132" s="27">
        <f>IF(A132&gt;200,"",D132*'Adj-Mixed'!$C$7)</f>
        <v>0.31529510771559738</v>
      </c>
      <c r="L132" s="1">
        <f t="shared" ref="L132:L163" si="26">IF(A132&gt;200,"",1/K132)</f>
        <v>3.1716318316680652</v>
      </c>
      <c r="M132" s="27">
        <f t="shared" ref="M132:M163" si="27">IF(A132&gt;200,"",(J132/1000)/K132)</f>
        <v>3.4069997372356986</v>
      </c>
      <c r="N132" s="122">
        <f t="shared" si="24"/>
        <v>259.32995206808027</v>
      </c>
    </row>
    <row r="133" spans="1:14" x14ac:dyDescent="0.25">
      <c r="A133" s="22">
        <f t="shared" ref="A133:A185" si="28">A132+1</f>
        <v>151</v>
      </c>
      <c r="B133" s="28">
        <f>IF(A133&gt;200,"",IF($C$1='Adj-Mixed'!$A$21,VLOOKUP(A133,'337'!$A$6:$AB$188,4,FALSE),IF($C$1='Adj-Mixed'!$A$20,VLOOKUP(A133,'337'!$A$6:$AB$188,13,FALSE),IF($C$1='Adj-Mixed'!$A$19,VLOOKUP(A133,'337'!$A$6:$AB$188,22,FALSE)))))</f>
        <v>105.39073815596873</v>
      </c>
      <c r="C133" s="26">
        <f t="shared" ref="C133:C185" si="29">IF(A133&gt;200,"",(B133-B132)*1000)</f>
        <v>972.41795418524646</v>
      </c>
      <c r="D133" s="27">
        <f t="shared" ref="D133:D185" si="30">IF(A133&gt;200,"",1/E133)</f>
        <v>0.35353935994843744</v>
      </c>
      <c r="E133" s="27">
        <f>IF(A133&gt;200,"",IF($C$1='Adj-Mixed'!$A$21,VLOOKUP(A133,'337'!$A$7:$AB$188,10,FALSE),IF($C$1='Adj-Mixed'!$A$20,VLOOKUP(A133,'337'!$A$7:$AB$188,19,FALSE),IF($C$1='Adj-Mixed'!$A$19,VLOOKUP(A133,'337'!$A$7:$AB$188,28,FALSE)))))</f>
        <v>2.828539374359468</v>
      </c>
      <c r="F133" s="27">
        <f>IF(A133&gt;200,"",IF($C$1='Adj-Mixed'!$A$21,VLOOKUP(A133,'337'!$A$7:$AB$188,7,FALSE),IF($C$1='Adj-Mixed'!$A$20,VLOOKUP(A133,'337'!$A$7:$AB$188,16,FALSE),IF($C$1='Adj-Mixed'!$A$19,VLOOKUP(A133,'337'!$A$7:$AB$188,25,FALSE)))))</f>
        <v>2.7538896508924653</v>
      </c>
      <c r="G133" s="27">
        <f t="shared" si="20"/>
        <v>211.82491154255604</v>
      </c>
      <c r="H133" s="1"/>
      <c r="I133" s="136">
        <f t="shared" si="25"/>
        <v>115.63595059853606</v>
      </c>
      <c r="J133" s="26">
        <f>IF(A133&gt;200,"",(C133*'Adj-Mixed'!$C$6))</f>
        <v>1071.9783907947337</v>
      </c>
      <c r="K133" s="27">
        <f>IF(A133&gt;200,"",D133*'Adj-Mixed'!$C$7)</f>
        <v>0.31387565818524177</v>
      </c>
      <c r="L133" s="1">
        <f t="shared" si="26"/>
        <v>3.1859749997236944</v>
      </c>
      <c r="M133" s="27">
        <f t="shared" si="27"/>
        <v>3.4152963533160583</v>
      </c>
      <c r="N133" s="122">
        <f t="shared" ref="N133:N164" si="31">IF(A133&gt;200,"",N132+M133)</f>
        <v>262.74524842139635</v>
      </c>
    </row>
    <row r="134" spans="1:14" x14ac:dyDescent="0.25">
      <c r="A134" s="22">
        <f t="shared" si="28"/>
        <v>152</v>
      </c>
      <c r="B134" s="28">
        <f>IF(A134&gt;200,"",IF($C$1='Adj-Mixed'!$A$21,VLOOKUP(A134,'337'!$A$6:$AB$188,4,FALSE),IF($C$1='Adj-Mixed'!$A$20,VLOOKUP(A134,'337'!$A$6:$AB$188,13,FALSE),IF($C$1='Adj-Mixed'!$A$19,VLOOKUP(A134,'337'!$A$6:$AB$188,22,FALSE)))))</f>
        <v>106.36106014006434</v>
      </c>
      <c r="C134" s="26">
        <f t="shared" si="29"/>
        <v>970.32198409560522</v>
      </c>
      <c r="D134" s="27">
        <f t="shared" si="30"/>
        <v>0.35194352044418359</v>
      </c>
      <c r="E134" s="27">
        <f>IF(A134&gt;200,"",IF($C$1='Adj-Mixed'!$A$21,VLOOKUP(A134,'337'!$A$7:$AB$188,10,FALSE),IF($C$1='Adj-Mixed'!$A$20,VLOOKUP(A134,'337'!$A$7:$AB$188,19,FALSE),IF($C$1='Adj-Mixed'!$A$19,VLOOKUP(A134,'337'!$A$7:$AB$188,28,FALSE)))))</f>
        <v>2.8413649972527191</v>
      </c>
      <c r="F134" s="27">
        <f>IF(A134&gt;200,"",IF($C$1='Adj-Mixed'!$A$21,VLOOKUP(A134,'337'!$A$7:$AB$188,7,FALSE),IF($C$1='Adj-Mixed'!$A$20,VLOOKUP(A134,'337'!$A$7:$AB$188,16,FALSE),IF($C$1='Adj-Mixed'!$A$19,VLOOKUP(A134,'337'!$A$7:$AB$188,25,FALSE)))))</f>
        <v>2.7603470332475415</v>
      </c>
      <c r="G134" s="27">
        <f t="shared" ref="G134:G185" si="32">IF(A134&gt;200,"",F134+G133)</f>
        <v>214.58525857580358</v>
      </c>
      <c r="H134" s="1"/>
      <c r="I134" s="136">
        <f t="shared" si="25"/>
        <v>116.70561842458424</v>
      </c>
      <c r="J134" s="26">
        <f>IF(A134&gt;200,"",(C134*'Adj-Mixed'!$C$6))</f>
        <v>1069.667826048189</v>
      </c>
      <c r="K134" s="27">
        <f>IF(A134&gt;200,"",D134*'Adj-Mixed'!$C$7)</f>
        <v>0.31245885646101862</v>
      </c>
      <c r="L134" s="1">
        <f t="shared" si="26"/>
        <v>3.2004213653158424</v>
      </c>
      <c r="M134" s="27">
        <f t="shared" si="27"/>
        <v>3.4233877642755743</v>
      </c>
      <c r="N134" s="122">
        <f t="shared" si="31"/>
        <v>266.16863618567191</v>
      </c>
    </row>
    <row r="135" spans="1:14" x14ac:dyDescent="0.25">
      <c r="A135" s="22">
        <f t="shared" si="28"/>
        <v>153</v>
      </c>
      <c r="B135" s="28">
        <f>IF(A135&gt;200,"",IF($C$1='Adj-Mixed'!$A$21,VLOOKUP(A135,'337'!$A$6:$AB$188,4,FALSE),IF($C$1='Adj-Mixed'!$A$20,VLOOKUP(A135,'337'!$A$6:$AB$188,13,FALSE),IF($C$1='Adj-Mixed'!$A$19,VLOOKUP(A135,'337'!$A$6:$AB$188,22,FALSE)))))</f>
        <v>107.32921651938358</v>
      </c>
      <c r="C135" s="26">
        <f t="shared" si="29"/>
        <v>968.15637931923959</v>
      </c>
      <c r="D135" s="27">
        <f t="shared" si="30"/>
        <v>0.35035040884347296</v>
      </c>
      <c r="E135" s="27">
        <f>IF(A135&gt;200,"",IF($C$1='Adj-Mixed'!$A$21,VLOOKUP(A135,'337'!$A$7:$AB$188,10,FALSE),IF($C$1='Adj-Mixed'!$A$20,VLOOKUP(A135,'337'!$A$7:$AB$188,19,FALSE),IF($C$1='Adj-Mixed'!$A$19,VLOOKUP(A135,'337'!$A$7:$AB$188,28,FALSE)))))</f>
        <v>2.8542852377454278</v>
      </c>
      <c r="F135" s="27">
        <f>IF(A135&gt;200,"",IF($C$1='Adj-Mixed'!$A$21,VLOOKUP(A135,'337'!$A$7:$AB$188,7,FALSE),IF($C$1='Adj-Mixed'!$A$20,VLOOKUP(A135,'337'!$A$7:$AB$188,16,FALSE),IF($C$1='Adj-Mixed'!$A$19,VLOOKUP(A135,'337'!$A$7:$AB$188,25,FALSE)))))</f>
        <v>2.7666433838347637</v>
      </c>
      <c r="G135" s="27">
        <f t="shared" si="32"/>
        <v>217.35190195963835</v>
      </c>
      <c r="H135" s="1"/>
      <c r="I135" s="136">
        <f t="shared" si="25"/>
        <v>117.77289892169298</v>
      </c>
      <c r="J135" s="26">
        <f>IF(A135&gt;200,"",(C135*'Adj-Mixed'!$C$6))</f>
        <v>1067.2804971087405</v>
      </c>
      <c r="K135" s="27">
        <f>IF(A135&gt;200,"",D135*'Adj-Mixed'!$C$7)</f>
        <v>0.31104447659590678</v>
      </c>
      <c r="L135" s="1">
        <f t="shared" si="26"/>
        <v>3.2149743051028334</v>
      </c>
      <c r="M135" s="27">
        <f t="shared" si="27"/>
        <v>3.4312793745419801</v>
      </c>
      <c r="N135" s="122">
        <f t="shared" si="31"/>
        <v>269.5999155602139</v>
      </c>
    </row>
    <row r="136" spans="1:14" x14ac:dyDescent="0.25">
      <c r="A136" s="22">
        <f t="shared" si="28"/>
        <v>154</v>
      </c>
      <c r="B136" s="28">
        <f>IF(A136&gt;200,"",IF($C$1='Adj-Mixed'!$A$21,VLOOKUP(A136,'337'!$A$6:$AB$188,4,FALSE),IF($C$1='Adj-Mixed'!$A$20,VLOOKUP(A136,'337'!$A$6:$AB$188,13,FALSE),IF($C$1='Adj-Mixed'!$A$19,VLOOKUP(A136,'337'!$A$6:$AB$188,22,FALSE)))))</f>
        <v>108.29513931783916</v>
      </c>
      <c r="C136" s="26">
        <f t="shared" si="29"/>
        <v>965.92279845557982</v>
      </c>
      <c r="D136" s="27">
        <f t="shared" si="30"/>
        <v>0.34875979098739379</v>
      </c>
      <c r="E136" s="27">
        <f>IF(A136&gt;200,"",IF($C$1='Adj-Mixed'!$A$21,VLOOKUP(A136,'337'!$A$7:$AB$188,10,FALSE),IF($C$1='Adj-Mixed'!$A$20,VLOOKUP(A136,'337'!$A$7:$AB$188,19,FALSE),IF($C$1='Adj-Mixed'!$A$19,VLOOKUP(A136,'337'!$A$7:$AB$188,28,FALSE)))))</f>
        <v>2.8673030144009513</v>
      </c>
      <c r="F136" s="27">
        <f>IF(A136&gt;200,"",IF($C$1='Adj-Mixed'!$A$21,VLOOKUP(A136,'337'!$A$7:$AB$188,7,FALSE),IF($C$1='Adj-Mixed'!$A$20,VLOOKUP(A136,'337'!$A$7:$AB$188,16,FALSE),IF($C$1='Adj-Mixed'!$A$19,VLOOKUP(A136,'337'!$A$7:$AB$188,25,FALSE)))))</f>
        <v>2.7727830597050929</v>
      </c>
      <c r="G136" s="27">
        <f t="shared" si="32"/>
        <v>220.12468501934345</v>
      </c>
      <c r="H136" s="1"/>
      <c r="I136" s="136">
        <f t="shared" si="25"/>
        <v>118.83771715408352</v>
      </c>
      <c r="J136" s="26">
        <f>IF(A136&gt;200,"",(C136*'Adj-Mixed'!$C$6))</f>
        <v>1064.8182323905392</v>
      </c>
      <c r="K136" s="27">
        <f>IF(A136&gt;200,"",D136*'Adj-Mixed'!$C$7)</f>
        <v>0.30963231070136293</v>
      </c>
      <c r="L136" s="1">
        <f t="shared" si="26"/>
        <v>3.2296371064597627</v>
      </c>
      <c r="M136" s="27">
        <f t="shared" si="27"/>
        <v>3.43897647496338</v>
      </c>
      <c r="N136" s="122">
        <f t="shared" si="31"/>
        <v>273.0388920351773</v>
      </c>
    </row>
    <row r="137" spans="1:14" x14ac:dyDescent="0.25">
      <c r="A137" s="22">
        <f t="shared" si="28"/>
        <v>155</v>
      </c>
      <c r="B137" s="28">
        <f>IF(A137&gt;200,"",IF($C$1='Adj-Mixed'!$A$21,VLOOKUP(A137,'337'!$A$6:$AB$188,4,FALSE),IF($C$1='Adj-Mixed'!$A$20,VLOOKUP(A137,'337'!$A$6:$AB$188,13,FALSE),IF($C$1='Adj-Mixed'!$A$19,VLOOKUP(A137,'337'!$A$6:$AB$188,22,FALSE)))))</f>
        <v>109.2587622048886</v>
      </c>
      <c r="C137" s="26">
        <f t="shared" si="29"/>
        <v>963.62288704943921</v>
      </c>
      <c r="D137" s="27">
        <f t="shared" si="30"/>
        <v>0.34717145224057694</v>
      </c>
      <c r="E137" s="27">
        <f>IF(A137&gt;200,"",IF($C$1='Adj-Mixed'!$A$21,VLOOKUP(A137,'337'!$A$7:$AB$188,10,FALSE),IF($C$1='Adj-Mixed'!$A$20,VLOOKUP(A137,'337'!$A$7:$AB$188,19,FALSE),IF($C$1='Adj-Mixed'!$A$19,VLOOKUP(A137,'337'!$A$7:$AB$188,28,FALSE)))))</f>
        <v>2.8804211681179277</v>
      </c>
      <c r="F137" s="27">
        <f>IF(A137&gt;200,"",IF($C$1='Adj-Mixed'!$A$21,VLOOKUP(A137,'337'!$A$7:$AB$188,7,FALSE),IF($C$1='Adj-Mixed'!$A$20,VLOOKUP(A137,'337'!$A$7:$AB$188,16,FALSE),IF($C$1='Adj-Mixed'!$A$19,VLOOKUP(A137,'337'!$A$7:$AB$188,25,FALSE)))))</f>
        <v>2.7787703202122978</v>
      </c>
      <c r="G137" s="27">
        <f t="shared" si="32"/>
        <v>222.90345533955573</v>
      </c>
      <c r="H137" s="1"/>
      <c r="I137" s="136">
        <f t="shared" si="25"/>
        <v>119.90000000000005</v>
      </c>
      <c r="J137" s="26">
        <f>IF(A137&gt;200,"",(C137*'Adj-Mixed'!$C$6))</f>
        <v>1062.2828459165298</v>
      </c>
      <c r="K137" s="27">
        <f>IF(A137&gt;200,"",D137*'Adj-Mixed'!$C$7)</f>
        <v>0.30822216822203341</v>
      </c>
      <c r="L137" s="1">
        <f t="shared" si="26"/>
        <v>3.2444129692827022</v>
      </c>
      <c r="M137" s="27">
        <f t="shared" si="27"/>
        <v>3.4464842423381281</v>
      </c>
      <c r="N137" s="122">
        <f t="shared" si="31"/>
        <v>276.4853762775154</v>
      </c>
    </row>
    <row r="138" spans="1:14" x14ac:dyDescent="0.25">
      <c r="A138" s="22">
        <f t="shared" si="28"/>
        <v>156</v>
      </c>
      <c r="B138" s="28">
        <f>IF(A138&gt;200,"",IF($C$1='Adj-Mixed'!$A$21,VLOOKUP(A138,'337'!$A$6:$AB$188,4,FALSE),IF($C$1='Adj-Mixed'!$A$20,VLOOKUP(A138,'337'!$A$6:$AB$188,13,FALSE),IF($C$1='Adj-Mixed'!$A$19,VLOOKUP(A138,'337'!$A$6:$AB$188,22,FALSE)))))</f>
        <v>110.22002048196677</v>
      </c>
      <c r="C138" s="26">
        <f t="shared" si="29"/>
        <v>961.2582770781728</v>
      </c>
      <c r="D138" s="27">
        <f t="shared" si="30"/>
        <v>0.34558519669159193</v>
      </c>
      <c r="E138" s="27">
        <f>IF(A138&gt;200,"",IF($C$1='Adj-Mixed'!$A$21,VLOOKUP(A138,'337'!$A$7:$AB$188,10,FALSE),IF($C$1='Adj-Mixed'!$A$20,VLOOKUP(A138,'337'!$A$7:$AB$188,19,FALSE),IF($C$1='Adj-Mixed'!$A$19,VLOOKUP(A138,'337'!$A$7:$AB$188,28,FALSE)))))</f>
        <v>2.8936424637783968</v>
      </c>
      <c r="F138" s="27">
        <f>IF(A138&gt;200,"",IF($C$1='Adj-Mixed'!$A$21,VLOOKUP(A138,'337'!$A$7:$AB$188,7,FALSE),IF($C$1='Adj-Mixed'!$A$20,VLOOKUP(A138,'337'!$A$7:$AB$188,16,FALSE),IF($C$1='Adj-Mixed'!$A$19,VLOOKUP(A138,'337'!$A$7:$AB$188,25,FALSE)))))</f>
        <v>2.784609326928702</v>
      </c>
      <c r="G138" s="27">
        <f t="shared" si="32"/>
        <v>225.68806466648442</v>
      </c>
      <c r="H138" s="1"/>
      <c r="I138" s="136">
        <f t="shared" si="25"/>
        <v>120.95967613675315</v>
      </c>
      <c r="J138" s="26">
        <f>IF(A138&gt;200,"",(C138*'Adj-Mixed'!$C$6))</f>
        <v>1059.676136753103</v>
      </c>
      <c r="K138" s="27">
        <f>IF(A138&gt;200,"",D138*'Adj-Mixed'!$C$7)</f>
        <v>0.30681387522585818</v>
      </c>
      <c r="L138" s="1">
        <f t="shared" si="26"/>
        <v>3.259305007845096</v>
      </c>
      <c r="M138" s="27">
        <f t="shared" si="27"/>
        <v>3.4538077392133339</v>
      </c>
      <c r="N138" s="122">
        <f t="shared" si="31"/>
        <v>279.93918401672875</v>
      </c>
    </row>
    <row r="139" spans="1:14" x14ac:dyDescent="0.25">
      <c r="A139" s="22">
        <f t="shared" si="28"/>
        <v>157</v>
      </c>
      <c r="B139" s="28">
        <f>IF(A139&gt;200,"",IF($C$1='Adj-Mixed'!$A$21,VLOOKUP(A139,'337'!$A$6:$AB$188,4,FALSE),IF($C$1='Adj-Mixed'!$A$20,VLOOKUP(A139,'337'!$A$6:$AB$188,13,FALSE),IF($C$1='Adj-Mixed'!$A$19,VLOOKUP(A139,'337'!$A$6:$AB$188,22,FALSE)))))</f>
        <v>111.17885106843096</v>
      </c>
      <c r="C139" s="26">
        <f t="shared" si="29"/>
        <v>958.83058646418817</v>
      </c>
      <c r="D139" s="27">
        <f t="shared" si="30"/>
        <v>0.34400084637031403</v>
      </c>
      <c r="E139" s="27">
        <f>IF(A139&gt;200,"",IF($C$1='Adj-Mixed'!$A$21,VLOOKUP(A139,'337'!$A$7:$AB$188,10,FALSE),IF($C$1='Adj-Mixed'!$A$20,VLOOKUP(A139,'337'!$A$7:$AB$188,19,FALSE),IF($C$1='Adj-Mixed'!$A$19,VLOOKUP(A139,'337'!$A$7:$AB$188,28,FALSE)))))</f>
        <v>2.9069695919396326</v>
      </c>
      <c r="F139" s="27">
        <f>IF(A139&gt;200,"",IF($C$1='Adj-Mixed'!$A$21,VLOOKUP(A139,'337'!$A$7:$AB$188,7,FALSE),IF($C$1='Adj-Mixed'!$A$20,VLOOKUP(A139,'337'!$A$7:$AB$188,16,FALSE),IF($C$1='Adj-Mixed'!$A$19,VLOOKUP(A139,'337'!$A$7:$AB$188,25,FALSE)))))</f>
        <v>2.7903041437744434</v>
      </c>
      <c r="G139" s="27">
        <f t="shared" si="32"/>
        <v>228.47836881025887</v>
      </c>
      <c r="H139" s="1"/>
      <c r="I139" s="136">
        <f t="shared" si="25"/>
        <v>122.01667602522583</v>
      </c>
      <c r="J139" s="26">
        <f>IF(A139&gt;200,"",(C139*'Adj-Mixed'!$C$6))</f>
        <v>1056.9998884726945</v>
      </c>
      <c r="K139" s="27">
        <f>IF(A139&gt;200,"",D139*'Adj-Mixed'!$C$7)</f>
        <v>0.30540727370924164</v>
      </c>
      <c r="L139" s="1">
        <f t="shared" si="26"/>
        <v>3.2743162527033811</v>
      </c>
      <c r="M139" s="27">
        <f t="shared" si="27"/>
        <v>3.460951913931805</v>
      </c>
      <c r="N139" s="122">
        <f t="shared" si="31"/>
        <v>283.40013593066055</v>
      </c>
    </row>
    <row r="140" spans="1:14" x14ac:dyDescent="0.25">
      <c r="A140" s="22">
        <f t="shared" si="28"/>
        <v>158</v>
      </c>
      <c r="B140" s="28">
        <f>IF(A140&gt;200,"",IF($C$1='Adj-Mixed'!$A$21,VLOOKUP(A140,'337'!$A$6:$AB$188,4,FALSE),IF($C$1='Adj-Mixed'!$A$20,VLOOKUP(A140,'337'!$A$6:$AB$188,13,FALSE),IF($C$1='Adj-Mixed'!$A$19,VLOOKUP(A140,'337'!$A$6:$AB$188,22,FALSE)))))</f>
        <v>112.13519248704512</v>
      </c>
      <c r="C140" s="26">
        <f t="shared" si="29"/>
        <v>956.34141861415856</v>
      </c>
      <c r="D140" s="27">
        <f t="shared" si="30"/>
        <v>0.34241824048305441</v>
      </c>
      <c r="E140" s="27">
        <f>IF(A140&gt;200,"",IF($C$1='Adj-Mixed'!$A$21,VLOOKUP(A140,'337'!$A$7:$AB$188,10,FALSE),IF($C$1='Adj-Mixed'!$A$20,VLOOKUP(A140,'337'!$A$7:$AB$188,19,FALSE),IF($C$1='Adj-Mixed'!$A$19,VLOOKUP(A140,'337'!$A$7:$AB$188,28,FALSE)))))</f>
        <v>2.9204051705577525</v>
      </c>
      <c r="F140" s="27">
        <f>IF(A140&gt;200,"",IF($C$1='Adj-Mixed'!$A$21,VLOOKUP(A140,'337'!$A$7:$AB$188,7,FALSE),IF($C$1='Adj-Mixed'!$A$20,VLOOKUP(A140,'337'!$A$7:$AB$188,16,FALSE),IF($C$1='Adj-Mixed'!$A$19,VLOOKUP(A140,'337'!$A$7:$AB$188,25,FALSE)))))</f>
        <v>2.7958587373434414</v>
      </c>
      <c r="G140" s="27">
        <f t="shared" si="32"/>
        <v>231.27422754760232</v>
      </c>
      <c r="H140" s="1"/>
      <c r="I140" s="136">
        <f t="shared" si="25"/>
        <v>123.07093189387166</v>
      </c>
      <c r="J140" s="26">
        <f>IF(A140&gt;200,"",(C140*'Adj-Mixed'!$C$6))</f>
        <v>1054.2558686458203</v>
      </c>
      <c r="K140" s="27">
        <f>IF(A140&gt;200,"",D140*'Adj-Mixed'!$C$7)</f>
        <v>0.30400222091799406</v>
      </c>
      <c r="L140" s="1">
        <f t="shared" si="26"/>
        <v>3.2894496526384076</v>
      </c>
      <c r="M140" s="27">
        <f t="shared" si="27"/>
        <v>3.4679216009089964</v>
      </c>
      <c r="N140" s="122">
        <f t="shared" si="31"/>
        <v>286.86805753156955</v>
      </c>
    </row>
    <row r="141" spans="1:14" x14ac:dyDescent="0.25">
      <c r="A141" s="22">
        <f t="shared" si="28"/>
        <v>159</v>
      </c>
      <c r="B141" s="28">
        <f>IF(A141&gt;200,"",IF($C$1='Adj-Mixed'!$A$21,VLOOKUP(A141,'337'!$A$6:$AB$188,4,FALSE),IF($C$1='Adj-Mixed'!$A$20,VLOOKUP(A141,'337'!$A$6:$AB$188,13,FALSE),IF($C$1='Adj-Mixed'!$A$19,VLOOKUP(A141,'337'!$A$6:$AB$188,22,FALSE)))))</f>
        <v>113.08898484902761</v>
      </c>
      <c r="C141" s="26">
        <f t="shared" si="29"/>
        <v>953.79236198249373</v>
      </c>
      <c r="D141" s="27">
        <f t="shared" si="30"/>
        <v>0.34083723466520421</v>
      </c>
      <c r="E141" s="27">
        <f>IF(A141&gt;200,"",IF($C$1='Adj-Mixed'!$A$21,VLOOKUP(A141,'337'!$A$7:$AB$188,10,FALSE),IF($C$1='Adj-Mixed'!$A$20,VLOOKUP(A141,'337'!$A$7:$AB$188,19,FALSE),IF($C$1='Adj-Mixed'!$A$19,VLOOKUP(A141,'337'!$A$7:$AB$188,28,FALSE)))))</f>
        <v>2.9339517467399787</v>
      </c>
      <c r="F141" s="27">
        <f>IF(A141&gt;200,"",IF($C$1='Adj-Mixed'!$A$21,VLOOKUP(A141,'337'!$A$7:$AB$188,7,FALSE),IF($C$1='Adj-Mixed'!$A$20,VLOOKUP(A141,'337'!$A$7:$AB$188,16,FALSE),IF($C$1='Adj-Mixed'!$A$19,VLOOKUP(A141,'337'!$A$7:$AB$188,25,FALSE)))))</f>
        <v>2.8012769774099482</v>
      </c>
      <c r="G141" s="27">
        <f t="shared" si="32"/>
        <v>234.07550452501226</v>
      </c>
      <c r="H141" s="1"/>
      <c r="I141" s="136">
        <f t="shared" si="25"/>
        <v>124.12237772223152</v>
      </c>
      <c r="J141" s="26">
        <f>IF(A141&gt;200,"",(C141*'Adj-Mixed'!$C$6))</f>
        <v>1051.4458283598549</v>
      </c>
      <c r="K141" s="27">
        <f>IF(A141&gt;200,"",D141*'Adj-Mixed'!$C$7)</f>
        <v>0.30259858868382128</v>
      </c>
      <c r="L141" s="1">
        <f t="shared" si="26"/>
        <v>3.304708076629129</v>
      </c>
      <c r="M141" s="27">
        <f t="shared" si="27"/>
        <v>3.4747215211188176</v>
      </c>
      <c r="N141" s="122">
        <f t="shared" si="31"/>
        <v>290.34277905268834</v>
      </c>
    </row>
    <row r="142" spans="1:14" x14ac:dyDescent="0.25">
      <c r="A142" s="22">
        <f t="shared" si="28"/>
        <v>160</v>
      </c>
      <c r="B142" s="28">
        <f>IF(A142&gt;200,"",IF($C$1='Adj-Mixed'!$A$21,VLOOKUP(A142,'337'!$A$6:$AB$188,4,FALSE),IF($C$1='Adj-Mixed'!$A$20,VLOOKUP(A142,'337'!$A$6:$AB$188,13,FALSE),IF($C$1='Adj-Mixed'!$A$19,VLOOKUP(A142,'337'!$A$6:$AB$188,22,FALSE)))))</f>
        <v>114.04016983868792</v>
      </c>
      <c r="C142" s="26">
        <f t="shared" si="29"/>
        <v>951.18498966030529</v>
      </c>
      <c r="D142" s="27">
        <f t="shared" si="30"/>
        <v>0.33925770025168633</v>
      </c>
      <c r="E142" s="27">
        <f>IF(A142&gt;200,"",IF($C$1='Adj-Mixed'!$A$21,VLOOKUP(A142,'337'!$A$7:$AB$188,10,FALSE),IF($C$1='Adj-Mixed'!$A$20,VLOOKUP(A142,'337'!$A$7:$AB$188,19,FALSE),IF($C$1='Adj-Mixed'!$A$19,VLOOKUP(A142,'337'!$A$7:$AB$188,28,FALSE)))))</f>
        <v>2.9476117985181363</v>
      </c>
      <c r="F142" s="27">
        <f>IF(A142&gt;200,"",IF($C$1='Adj-Mixed'!$A$21,VLOOKUP(A142,'337'!$A$7:$AB$188,7,FALSE),IF($C$1='Adj-Mixed'!$A$20,VLOOKUP(A142,'337'!$A$7:$AB$188,16,FALSE),IF($C$1='Adj-Mixed'!$A$19,VLOOKUP(A142,'337'!$A$7:$AB$188,25,FALSE)))))</f>
        <v>2.806562637600269</v>
      </c>
      <c r="G142" s="27">
        <f t="shared" si="32"/>
        <v>236.88206716261254</v>
      </c>
      <c r="H142" s="1"/>
      <c r="I142" s="136">
        <f t="shared" si="25"/>
        <v>125.17094922399743</v>
      </c>
      <c r="J142" s="26">
        <f>IF(A142&gt;200,"",(C142*'Adj-Mixed'!$C$6))</f>
        <v>1048.5715017659118</v>
      </c>
      <c r="K142" s="27">
        <f>IF(A142&gt;200,"",D142*'Adj-Mixed'!$C$7)</f>
        <v>0.30119626277662537</v>
      </c>
      <c r="L142" s="1">
        <f t="shared" si="26"/>
        <v>3.3200943158502096</v>
      </c>
      <c r="M142" s="27">
        <f t="shared" si="27"/>
        <v>3.481356282775522</v>
      </c>
      <c r="N142" s="122">
        <f t="shared" si="31"/>
        <v>293.82413533546389</v>
      </c>
    </row>
    <row r="143" spans="1:14" x14ac:dyDescent="0.25">
      <c r="A143" s="22">
        <f t="shared" si="28"/>
        <v>161</v>
      </c>
      <c r="B143" s="28">
        <f>IF(A143&gt;200,"",IF($C$1='Adj-Mixed'!$A$21,VLOOKUP(A143,'337'!$A$6:$AB$188,4,FALSE),IF($C$1='Adj-Mixed'!$A$20,VLOOKUP(A143,'337'!$A$6:$AB$188,13,FALSE),IF($C$1='Adj-Mixed'!$A$19,VLOOKUP(A143,'337'!$A$6:$AB$188,22,FALSE)))))</f>
        <v>114.98869069767609</v>
      </c>
      <c r="C143" s="26">
        <f t="shared" si="29"/>
        <v>948.52085898817506</v>
      </c>
      <c r="D143" s="27">
        <f t="shared" si="30"/>
        <v>0.33767952356549935</v>
      </c>
      <c r="E143" s="27">
        <f>IF(A143&gt;200,"",IF($C$1='Adj-Mixed'!$A$21,VLOOKUP(A143,'337'!$A$7:$AB$188,10,FALSE),IF($C$1='Adj-Mixed'!$A$20,VLOOKUP(A143,'337'!$A$7:$AB$188,19,FALSE),IF($C$1='Adj-Mixed'!$A$19,VLOOKUP(A143,'337'!$A$7:$AB$188,28,FALSE)))))</f>
        <v>2.9613877366361274</v>
      </c>
      <c r="F143" s="27">
        <f>IF(A143&gt;200,"",IF($C$1='Adj-Mixed'!$A$21,VLOOKUP(A143,'337'!$A$7:$AB$188,7,FALSE),IF($C$1='Adj-Mixed'!$A$20,VLOOKUP(A143,'337'!$A$7:$AB$188,16,FALSE),IF($C$1='Adj-Mixed'!$A$19,VLOOKUP(A143,'337'!$A$7:$AB$188,25,FALSE)))))</f>
        <v>2.8117193962149192</v>
      </c>
      <c r="G143" s="27">
        <f t="shared" si="32"/>
        <v>239.69378655882747</v>
      </c>
      <c r="H143" s="1"/>
      <c r="I143" s="136">
        <f t="shared" si="25"/>
        <v>126.21658382964939</v>
      </c>
      <c r="J143" s="26">
        <f>IF(A143&gt;200,"",(C143*'Adj-Mixed'!$C$6))</f>
        <v>1045.6346056519667</v>
      </c>
      <c r="K143" s="27">
        <f>IF(A143&gt;200,"",D143*'Adj-Mixed'!$C$7)</f>
        <v>0.29979514227286647</v>
      </c>
      <c r="L143" s="1">
        <f t="shared" si="26"/>
        <v>3.3356110856853829</v>
      </c>
      <c r="M143" s="27">
        <f t="shared" si="27"/>
        <v>3.4878303821889642</v>
      </c>
      <c r="N143" s="122">
        <f t="shared" si="31"/>
        <v>297.31196571765287</v>
      </c>
    </row>
    <row r="144" spans="1:14" x14ac:dyDescent="0.25">
      <c r="A144" s="22">
        <f t="shared" si="28"/>
        <v>162</v>
      </c>
      <c r="B144" s="28">
        <f>IF(A144&gt;200,"",IF($C$1='Adj-Mixed'!$A$21,VLOOKUP(A144,'337'!$A$6:$AB$188,4,FALSE),IF($C$1='Adj-Mixed'!$A$20,VLOOKUP(A144,'337'!$A$6:$AB$188,13,FALSE),IF($C$1='Adj-Mixed'!$A$19,VLOOKUP(A144,'337'!$A$6:$AB$188,22,FALSE)))))</f>
        <v>115.9344922088689</v>
      </c>
      <c r="C144" s="26">
        <f t="shared" si="29"/>
        <v>945.80151119281197</v>
      </c>
      <c r="D144" s="27">
        <f t="shared" si="30"/>
        <v>0.33610260522411389</v>
      </c>
      <c r="E144" s="27">
        <f>IF(A144&gt;200,"",IF($C$1='Adj-Mixed'!$A$21,VLOOKUP(A144,'337'!$A$7:$AB$188,10,FALSE),IF($C$1='Adj-Mixed'!$A$20,VLOOKUP(A144,'337'!$A$7:$AB$188,19,FALSE),IF($C$1='Adj-Mixed'!$A$19,VLOOKUP(A144,'337'!$A$7:$AB$188,28,FALSE)))))</f>
        <v>2.9752819063488007</v>
      </c>
      <c r="F144" s="27">
        <f>IF(A144&gt;200,"",IF($C$1='Adj-Mixed'!$A$21,VLOOKUP(A144,'337'!$A$7:$AB$188,7,FALSE),IF($C$1='Adj-Mixed'!$A$20,VLOOKUP(A144,'337'!$A$7:$AB$188,16,FALSE),IF($C$1='Adj-Mixed'!$A$19,VLOOKUP(A144,'337'!$A$7:$AB$188,25,FALSE)))))</f>
        <v>2.8167508371872243</v>
      </c>
      <c r="G144" s="27">
        <f t="shared" si="32"/>
        <v>242.51053739601468</v>
      </c>
      <c r="H144" s="1"/>
      <c r="I144" s="136">
        <f t="shared" si="25"/>
        <v>127.25922066869171</v>
      </c>
      <c r="J144" s="26">
        <f>IF(A144&gt;200,"",(C144*'Adj-Mixed'!$C$6))</f>
        <v>1042.6368390423129</v>
      </c>
      <c r="K144" s="27">
        <f>IF(A144&gt;200,"",D144*'Adj-Mixed'!$C$7)</f>
        <v>0.29839513893977532</v>
      </c>
      <c r="L144" s="1">
        <f t="shared" si="26"/>
        <v>3.3512610277536345</v>
      </c>
      <c r="M144" s="27">
        <f t="shared" si="27"/>
        <v>3.4941482047827424</v>
      </c>
      <c r="N144" s="122">
        <f t="shared" si="31"/>
        <v>300.8061139224356</v>
      </c>
    </row>
    <row r="145" spans="1:17" x14ac:dyDescent="0.25">
      <c r="A145" s="22">
        <f t="shared" si="28"/>
        <v>163</v>
      </c>
      <c r="B145" s="28">
        <f>IF(A145&gt;200,"",IF($C$1='Adj-Mixed'!$A$21,VLOOKUP(A145,'337'!$A$6:$AB$188,4,FALSE),IF($C$1='Adj-Mixed'!$A$20,VLOOKUP(A145,'337'!$A$6:$AB$188,13,FALSE),IF($C$1='Adj-Mixed'!$A$19,VLOOKUP(A145,'337'!$A$6:$AB$188,22,FALSE)))))</f>
        <v>116.87752067991579</v>
      </c>
      <c r="C145" s="26">
        <f t="shared" si="29"/>
        <v>943.02847104688681</v>
      </c>
      <c r="D145" s="27">
        <f t="shared" si="30"/>
        <v>0.33452685946410998</v>
      </c>
      <c r="E145" s="27">
        <f>IF(A145&gt;200,"",IF($C$1='Adj-Mixed'!$A$21,VLOOKUP(A145,'337'!$A$7:$AB$188,10,FALSE),IF($C$1='Adj-Mixed'!$A$20,VLOOKUP(A145,'337'!$A$7:$AB$188,19,FALSE),IF($C$1='Adj-Mixed'!$A$19,VLOOKUP(A145,'337'!$A$7:$AB$188,28,FALSE)))))</f>
        <v>2.9892965892243577</v>
      </c>
      <c r="F145" s="27">
        <f>IF(A145&gt;200,"",IF($C$1='Adj-Mixed'!$A$21,VLOOKUP(A145,'337'!$A$7:$AB$188,7,FALSE),IF($C$1='Adj-Mixed'!$A$20,VLOOKUP(A145,'337'!$A$7:$AB$188,16,FALSE),IF($C$1='Adj-Mixed'!$A$19,VLOOKUP(A145,'337'!$A$7:$AB$188,25,FALSE)))))</f>
        <v>2.8216604511650294</v>
      </c>
      <c r="G145" s="27">
        <f t="shared" si="32"/>
        <v>245.33219784717971</v>
      </c>
      <c r="H145" s="1"/>
      <c r="I145" s="136">
        <f t="shared" si="25"/>
        <v>128.29880055151429</v>
      </c>
      <c r="J145" s="26">
        <f>IF(A145&gt;200,"",(C145*'Adj-Mixed'!$C$6))</f>
        <v>1039.5798828225682</v>
      </c>
      <c r="K145" s="27">
        <f>IF(A145&gt;200,"",D145*'Adj-Mixed'!$C$7)</f>
        <v>0.29699617663575922</v>
      </c>
      <c r="L145" s="1">
        <f t="shared" si="26"/>
        <v>3.3670467119393788</v>
      </c>
      <c r="M145" s="27">
        <f t="shared" si="27"/>
        <v>3.5003140262560528</v>
      </c>
      <c r="N145" s="122">
        <f t="shared" si="31"/>
        <v>304.30642794869163</v>
      </c>
    </row>
    <row r="146" spans="1:17" x14ac:dyDescent="0.25">
      <c r="A146" s="22">
        <f t="shared" si="28"/>
        <v>164</v>
      </c>
      <c r="B146" s="28">
        <f>IF(A146&gt;200,"",IF($C$1='Adj-Mixed'!$A$21,VLOOKUP(A146,'337'!$A$6:$AB$188,4,FALSE),IF($C$1='Adj-Mixed'!$A$20,VLOOKUP(A146,'337'!$A$6:$AB$188,13,FALSE),IF($C$1='Adj-Mixed'!$A$19,VLOOKUP(A146,'337'!$A$6:$AB$188,22,FALSE)))))</f>
        <v>117.81772392646712</v>
      </c>
      <c r="C146" s="26">
        <f t="shared" si="29"/>
        <v>940.20324655133436</v>
      </c>
      <c r="D146" s="27">
        <f t="shared" si="30"/>
        <v>0.33295221348387805</v>
      </c>
      <c r="E146" s="27">
        <f>IF(A146&gt;200,"",IF($C$1='Adj-Mixed'!$A$21,VLOOKUP(A146,'337'!$A$7:$AB$188,10,FALSE),IF($C$1='Adj-Mixed'!$A$20,VLOOKUP(A146,'337'!$A$7:$AB$188,19,FALSE),IF($C$1='Adj-Mixed'!$A$19,VLOOKUP(A146,'337'!$A$7:$AB$188,28,FALSE)))))</f>
        <v>3.0034340049474433</v>
      </c>
      <c r="F146" s="27">
        <f>IF(A146&gt;200,"",IF($C$1='Adj-Mixed'!$A$21,VLOOKUP(A146,'337'!$A$7:$AB$188,7,FALSE),IF($C$1='Adj-Mixed'!$A$20,VLOOKUP(A146,'337'!$A$7:$AB$188,16,FALSE),IF($C$1='Adj-Mixed'!$A$19,VLOOKUP(A146,'337'!$A$7:$AB$188,25,FALSE)))))</f>
        <v>2.8264516367029193</v>
      </c>
      <c r="G146" s="27">
        <f t="shared" si="32"/>
        <v>248.15864948388264</v>
      </c>
      <c r="H146" s="1"/>
      <c r="I146" s="136">
        <f t="shared" si="25"/>
        <v>129.33526595090373</v>
      </c>
      <c r="J146" s="26">
        <f>IF(A146&gt;200,"",(C146*'Adj-Mixed'!$C$6))</f>
        <v>1036.4653993894503</v>
      </c>
      <c r="K146" s="27">
        <f>IF(A146&gt;200,"",D146*'Adj-Mixed'!$C$7)</f>
        <v>0.29559819072684618</v>
      </c>
      <c r="L146" s="1">
        <f t="shared" si="26"/>
        <v>3.3829706384233975</v>
      </c>
      <c r="M146" s="27">
        <f t="shared" si="27"/>
        <v>3.5063320138762903</v>
      </c>
      <c r="N146" s="122">
        <f t="shared" si="31"/>
        <v>307.81275996256795</v>
      </c>
    </row>
    <row r="147" spans="1:17" x14ac:dyDescent="0.25">
      <c r="A147" s="22">
        <f t="shared" si="28"/>
        <v>165</v>
      </c>
      <c r="B147" s="28">
        <f>IF(A147&gt;200,"",IF($C$1='Adj-Mixed'!$A$21,VLOOKUP(A147,'337'!$A$6:$AB$188,4,FALSE),IF($C$1='Adj-Mixed'!$A$20,VLOOKUP(A147,'337'!$A$6:$AB$188,13,FALSE),IF($C$1='Adj-Mixed'!$A$19,VLOOKUP(A147,'337'!$A$6:$AB$188,22,FALSE)))))</f>
        <v>118.75505125510729</v>
      </c>
      <c r="C147" s="26">
        <f t="shared" si="29"/>
        <v>937.32732864016555</v>
      </c>
      <c r="D147" s="27">
        <f t="shared" si="30"/>
        <v>0.33137860680449965</v>
      </c>
      <c r="E147" s="27">
        <f>IF(A147&gt;200,"",IF($C$1='Adj-Mixed'!$A$21,VLOOKUP(A147,'337'!$A$7:$AB$188,10,FALSE),IF($C$1='Adj-Mixed'!$A$20,VLOOKUP(A147,'337'!$A$7:$AB$188,19,FALSE),IF($C$1='Adj-Mixed'!$A$19,VLOOKUP(A147,'337'!$A$7:$AB$188,28,FALSE)))))</f>
        <v>3.0176963131176437</v>
      </c>
      <c r="F147" s="27">
        <f>IF(A147&gt;200,"",IF($C$1='Adj-Mixed'!$A$21,VLOOKUP(A147,'337'!$A$7:$AB$188,7,FALSE),IF($C$1='Adj-Mixed'!$A$20,VLOOKUP(A147,'337'!$A$7:$AB$188,16,FALSE),IF($C$1='Adj-Mixed'!$A$19,VLOOKUP(A147,'337'!$A$7:$AB$188,25,FALSE)))))</f>
        <v>2.8311277015530152</v>
      </c>
      <c r="G147" s="27">
        <f t="shared" si="32"/>
        <v>250.98977718543566</v>
      </c>
      <c r="H147" s="1"/>
      <c r="I147" s="136">
        <f t="shared" si="25"/>
        <v>130.36856098322909</v>
      </c>
      <c r="J147" s="26">
        <f>IF(A147&gt;200,"",(C147*'Adj-Mixed'!$C$6))</f>
        <v>1033.2950323253667</v>
      </c>
      <c r="K147" s="27">
        <f>IF(A147&gt;200,"",D147*'Adj-Mixed'!$C$7)</f>
        <v>0.29420112751926836</v>
      </c>
      <c r="L147" s="1">
        <f t="shared" si="26"/>
        <v>3.3990352397086112</v>
      </c>
      <c r="M147" s="27">
        <f t="shared" si="27"/>
        <v>3.5122062278897697</v>
      </c>
      <c r="N147" s="122">
        <f t="shared" si="31"/>
        <v>311.3249661904577</v>
      </c>
    </row>
    <row r="148" spans="1:17" x14ac:dyDescent="0.25">
      <c r="A148" s="22">
        <f t="shared" si="28"/>
        <v>166</v>
      </c>
      <c r="B148" s="28">
        <f>IF(A148&gt;200,"",IF($C$1='Adj-Mixed'!$A$21,VLOOKUP(A148,'337'!$A$6:$AB$188,4,FALSE),IF($C$1='Adj-Mixed'!$A$20,VLOOKUP(A148,'337'!$A$6:$AB$188,13,FALSE),IF($C$1='Adj-Mixed'!$A$19,VLOOKUP(A148,'337'!$A$6:$AB$188,22,FALSE)))))</f>
        <v>119.68945344601369</v>
      </c>
      <c r="C148" s="26">
        <f t="shared" si="29"/>
        <v>934.40219090639687</v>
      </c>
      <c r="D148" s="27">
        <f t="shared" si="30"/>
        <v>0.32980599064870231</v>
      </c>
      <c r="E148" s="27">
        <f>IF(A148&gt;200,"",IF($C$1='Adj-Mixed'!$A$21,VLOOKUP(A148,'337'!$A$7:$AB$188,10,FALSE),IF($C$1='Adj-Mixed'!$A$20,VLOOKUP(A148,'337'!$A$7:$AB$188,19,FALSE),IF($C$1='Adj-Mixed'!$A$19,VLOOKUP(A148,'337'!$A$7:$AB$188,28,FALSE)))))</f>
        <v>3.0320856150401605</v>
      </c>
      <c r="F148" s="27">
        <f>IF(A148&gt;200,"",IF($C$1='Adj-Mixed'!$A$21,VLOOKUP(A148,'337'!$A$7:$AB$188,7,FALSE),IF($C$1='Adj-Mixed'!$A$20,VLOOKUP(A148,'337'!$A$7:$AB$188,16,FALSE),IF($C$1='Adj-Mixed'!$A$19,VLOOKUP(A148,'337'!$A$7:$AB$188,25,FALSE)))))</f>
        <v>2.8356918640430893</v>
      </c>
      <c r="G148" s="27">
        <f t="shared" si="32"/>
        <v>253.82546904947876</v>
      </c>
      <c r="H148" s="1"/>
      <c r="I148" s="136">
        <f t="shared" si="25"/>
        <v>131.39863138932537</v>
      </c>
      <c r="J148" s="26">
        <f>IF(A148&gt;200,"",(C148*'Adj-Mixed'!$C$6))</f>
        <v>1030.0704060962823</v>
      </c>
      <c r="K148" s="27">
        <f>IF(A148&gt;200,"",D148*'Adj-Mixed'!$C$7)</f>
        <v>0.29280494370809207</v>
      </c>
      <c r="L148" s="1">
        <f t="shared" si="26"/>
        <v>3.4152428826370378</v>
      </c>
      <c r="M148" s="27">
        <f t="shared" si="27"/>
        <v>3.517940623035372</v>
      </c>
      <c r="N148" s="122">
        <f t="shared" si="31"/>
        <v>314.84290681349307</v>
      </c>
    </row>
    <row r="149" spans="1:17" x14ac:dyDescent="0.25">
      <c r="A149" s="22">
        <f t="shared" si="28"/>
        <v>167</v>
      </c>
      <c r="B149" s="28">
        <f>IF(A149&gt;200,"",IF($C$1='Adj-Mixed'!$A$21,VLOOKUP(A149,'337'!$A$6:$AB$188,4,FALSE),IF($C$1='Adj-Mixed'!$A$20,VLOOKUP(A149,'337'!$A$6:$AB$188,13,FALSE),IF($C$1='Adj-Mixed'!$A$19,VLOOKUP(A149,'337'!$A$6:$AB$188,22,FALSE)))))</f>
        <v>120.62088273536297</v>
      </c>
      <c r="C149" s="26">
        <f t="shared" si="29"/>
        <v>931.42928934928193</v>
      </c>
      <c r="D149" s="27">
        <f t="shared" si="30"/>
        <v>0.32823432733794355</v>
      </c>
      <c r="E149" s="27">
        <f>IF(A149&gt;200,"",IF($C$1='Adj-Mixed'!$A$21,VLOOKUP(A149,'337'!$A$7:$AB$188,10,FALSE),IF($C$1='Adj-Mixed'!$A$20,VLOOKUP(A149,'337'!$A$7:$AB$188,19,FALSE),IF($C$1='Adj-Mixed'!$A$19,VLOOKUP(A149,'337'!$A$7:$AB$188,28,FALSE)))))</f>
        <v>3.0466039555040805</v>
      </c>
      <c r="F149" s="27">
        <f>IF(A149&gt;200,"",IF($C$1='Adj-Mixed'!$A$21,VLOOKUP(A149,'337'!$A$7:$AB$188,7,FALSE),IF($C$1='Adj-Mixed'!$A$20,VLOOKUP(A149,'337'!$A$7:$AB$188,16,FALSE),IF($C$1='Adj-Mixed'!$A$19,VLOOKUP(A149,'337'!$A$7:$AB$188,25,FALSE)))))</f>
        <v>2.8401472545314217</v>
      </c>
      <c r="G149" s="27">
        <f t="shared" si="32"/>
        <v>256.6656163040102</v>
      </c>
      <c r="H149" s="1"/>
      <c r="I149" s="136">
        <f t="shared" si="25"/>
        <v>132.42542451509846</v>
      </c>
      <c r="J149" s="26">
        <f>IF(A149&gt;200,"",(C149*'Adj-Mixed'!$C$6))</f>
        <v>1026.7931257730725</v>
      </c>
      <c r="K149" s="27">
        <f>IF(A149&gt;200,"",D149*'Adj-Mixed'!$C$7)</f>
        <v>0.29140960584194342</v>
      </c>
      <c r="L149" s="1">
        <f t="shared" si="26"/>
        <v>3.4315958703927771</v>
      </c>
      <c r="M149" s="27">
        <f t="shared" si="27"/>
        <v>3.5235390501505672</v>
      </c>
      <c r="N149" s="122">
        <f t="shared" si="31"/>
        <v>318.36644586364366</v>
      </c>
    </row>
    <row r="150" spans="1:17" x14ac:dyDescent="0.25">
      <c r="A150" s="22">
        <f t="shared" si="28"/>
        <v>168</v>
      </c>
      <c r="B150" s="28">
        <f>IF(A150&gt;200,"",IF($C$1='Adj-Mixed'!$A$21,VLOOKUP(A150,'337'!$A$6:$AB$188,4,FALSE),IF($C$1='Adj-Mixed'!$A$20,VLOOKUP(A150,'337'!$A$6:$AB$188,13,FALSE),IF($C$1='Adj-Mixed'!$A$19,VLOOKUP(A150,'337'!$A$6:$AB$188,22,FALSE)))))</f>
        <v>121.54929279750495</v>
      </c>
      <c r="C150" s="26">
        <f t="shared" si="29"/>
        <v>928.41006214197819</v>
      </c>
      <c r="D150" s="27">
        <f t="shared" si="30"/>
        <v>0.326663589707402</v>
      </c>
      <c r="E150" s="27">
        <f>IF(A150&gt;200,"",IF($C$1='Adj-Mixed'!$A$21,VLOOKUP(A150,'337'!$A$7:$AB$188,10,FALSE),IF($C$1='Adj-Mixed'!$A$20,VLOOKUP(A150,'337'!$A$7:$AB$188,19,FALSE),IF($C$1='Adj-Mixed'!$A$19,VLOOKUP(A150,'337'!$A$7:$AB$188,28,FALSE)))))</f>
        <v>3.0612533245462603</v>
      </c>
      <c r="F150" s="27">
        <f>IF(A150&gt;200,"",IF($C$1='Adj-Mixed'!$A$21,VLOOKUP(A150,'337'!$A$7:$AB$188,7,FALSE),IF($C$1='Adj-Mixed'!$A$20,VLOOKUP(A150,'337'!$A$7:$AB$188,16,FALSE),IF($C$1='Adj-Mixed'!$A$19,VLOOKUP(A150,'337'!$A$7:$AB$188,25,FALSE)))))</f>
        <v>2.8444969169284393</v>
      </c>
      <c r="G150" s="27">
        <f t="shared" si="32"/>
        <v>259.51011322093865</v>
      </c>
      <c r="H150" s="1"/>
      <c r="I150" s="136">
        <f t="shared" si="25"/>
        <v>133.44888929187385</v>
      </c>
      <c r="J150" s="26">
        <f>IF(A150&gt;200,"",(C150*'Adj-Mixed'!$C$6))</f>
        <v>1023.4647767754021</v>
      </c>
      <c r="K150" s="27">
        <f>IF(A150&gt;200,"",D150*'Adj-Mixed'!$C$7)</f>
        <v>0.29001508980363172</v>
      </c>
      <c r="L150" s="1">
        <f t="shared" si="26"/>
        <v>3.4480964444887912</v>
      </c>
      <c r="M150" s="27">
        <f t="shared" si="27"/>
        <v>3.5290052578587785</v>
      </c>
      <c r="N150" s="122">
        <f t="shared" si="31"/>
        <v>321.89545112150245</v>
      </c>
      <c r="Q150" s="2"/>
    </row>
    <row r="151" spans="1:17" x14ac:dyDescent="0.25">
      <c r="A151" s="22">
        <f t="shared" si="28"/>
        <v>169</v>
      </c>
      <c r="B151" s="28">
        <f>IF(A151&gt;200,"",IF($C$1='Adj-Mixed'!$A$21,VLOOKUP(A151,'337'!$A$6:$AB$188,4,FALSE),IF($C$1='Adj-Mixed'!$A$20,VLOOKUP(A151,'337'!$A$6:$AB$188,13,FALSE),IF($C$1='Adj-Mixed'!$A$19,VLOOKUP(A151,'337'!$A$6:$AB$188,22,FALSE)))))</f>
        <v>122.47463872692414</v>
      </c>
      <c r="C151" s="26">
        <f t="shared" si="29"/>
        <v>925.34592941919414</v>
      </c>
      <c r="D151" s="27">
        <f t="shared" si="30"/>
        <v>0.32509376053899469</v>
      </c>
      <c r="E151" s="27">
        <f>IF(A151&gt;200,"",IF($C$1='Adj-Mixed'!$A$21,VLOOKUP(A151,'337'!$A$7:$AB$188,10,FALSE),IF($C$1='Adj-Mixed'!$A$20,VLOOKUP(A151,'337'!$A$7:$AB$188,19,FALSE),IF($C$1='Adj-Mixed'!$A$19,VLOOKUP(A151,'337'!$A$7:$AB$188,28,FALSE)))))</f>
        <v>3.0760356591957754</v>
      </c>
      <c r="F151" s="27">
        <f>IF(A151&gt;200,"",IF($C$1='Adj-Mixed'!$A$21,VLOOKUP(A151,'337'!$A$7:$AB$188,7,FALSE),IF($C$1='Adj-Mixed'!$A$20,VLOOKUP(A151,'337'!$A$7:$AB$188,16,FALSE),IF($C$1='Adj-Mixed'!$A$19,VLOOKUP(A151,'337'!$A$7:$AB$188,25,FALSE)))))</f>
        <v>2.8487438102758249</v>
      </c>
      <c r="G151" s="27">
        <f t="shared" si="32"/>
        <v>262.35885703121448</v>
      </c>
      <c r="H151" s="1"/>
      <c r="I151" s="136">
        <f t="shared" si="25"/>
        <v>134.46897621651149</v>
      </c>
      <c r="J151" s="26">
        <f>IF(A151&gt;200,"",(C151*'Adj-Mixed'!$C$6))</f>
        <v>1020.0869246376311</v>
      </c>
      <c r="K151" s="27">
        <f>IF(A151&gt;200,"",D151*'Adj-Mixed'!$C$7)</f>
        <v>0.28862138030677653</v>
      </c>
      <c r="L151" s="1">
        <f t="shared" si="26"/>
        <v>3.4647467867317974</v>
      </c>
      <c r="M151" s="27">
        <f t="shared" si="27"/>
        <v>3.5343428943253534</v>
      </c>
      <c r="N151" s="122">
        <f t="shared" si="31"/>
        <v>325.42979401582778</v>
      </c>
    </row>
    <row r="152" spans="1:17" x14ac:dyDescent="0.25">
      <c r="A152" s="22">
        <f t="shared" si="28"/>
        <v>170</v>
      </c>
      <c r="B152" s="28">
        <f>IF(A152&gt;200,"",IF($C$1='Adj-Mixed'!$A$21,VLOOKUP(A152,'337'!$A$6:$AB$188,4,FALSE),IF($C$1='Adj-Mixed'!$A$20,VLOOKUP(A152,'337'!$A$6:$AB$188,13,FALSE),IF($C$1='Adj-Mixed'!$A$19,VLOOKUP(A152,'337'!$A$6:$AB$188,22,FALSE)))))</f>
        <v>123.39687702000812</v>
      </c>
      <c r="C152" s="26">
        <f t="shared" si="29"/>
        <v>922.23829308397853</v>
      </c>
      <c r="D152" s="27">
        <f t="shared" si="30"/>
        <v>0.32352483201196824</v>
      </c>
      <c r="E152" s="27">
        <f>IF(A152&gt;200,"",IF($C$1='Adj-Mixed'!$A$21,VLOOKUP(A152,'337'!$A$7:$AB$188,10,FALSE),IF($C$1='Adj-Mixed'!$A$20,VLOOKUP(A152,'337'!$A$7:$AB$188,19,FALSE),IF($C$1='Adj-Mixed'!$A$19,VLOOKUP(A152,'337'!$A$7:$AB$188,28,FALSE)))))</f>
        <v>3.0909528451992418</v>
      </c>
      <c r="F152" s="27">
        <f>IF(A152&gt;200,"",IF($C$1='Adj-Mixed'!$A$21,VLOOKUP(A152,'337'!$A$7:$AB$188,7,FALSE),IF($C$1='Adj-Mixed'!$A$20,VLOOKUP(A152,'337'!$A$7:$AB$188,16,FALSE),IF($C$1='Adj-Mixed'!$A$19,VLOOKUP(A152,'337'!$A$7:$AB$188,25,FALSE)))))</f>
        <v>2.8528908103743924</v>
      </c>
      <c r="G152" s="27">
        <f t="shared" si="32"/>
        <v>265.21174784158887</v>
      </c>
      <c r="H152" s="1"/>
      <c r="I152" s="136">
        <f t="shared" si="25"/>
        <v>135.48563733130732</v>
      </c>
      <c r="J152" s="26">
        <f>IF(A152&gt;200,"",(C152*'Adj-Mixed'!$C$6))</f>
        <v>1016.6611147958221</v>
      </c>
      <c r="K152" s="27">
        <f>IF(A152&gt;200,"",D152*'Adj-Mixed'!$C$7)</f>
        <v>0.28722847040803756</v>
      </c>
      <c r="L152" s="1">
        <f t="shared" si="26"/>
        <v>3.4815490211656153</v>
      </c>
      <c r="M152" s="27">
        <f t="shared" si="27"/>
        <v>3.5395555090745372</v>
      </c>
      <c r="N152" s="122">
        <f t="shared" si="31"/>
        <v>328.96934952490233</v>
      </c>
    </row>
    <row r="153" spans="1:17" x14ac:dyDescent="0.25">
      <c r="A153" s="22">
        <f t="shared" si="28"/>
        <v>171</v>
      </c>
      <c r="B153" s="28">
        <f>IF(A153&gt;200,"",IF($C$1='Adj-Mixed'!$A$21,VLOOKUP(A153,'337'!$A$6:$AB$188,4,FALSE),IF($C$1='Adj-Mixed'!$A$20,VLOOKUP(A153,'337'!$A$6:$AB$188,13,FALSE),IF($C$1='Adj-Mixed'!$A$19,VLOOKUP(A153,'337'!$A$6:$AB$188,22,FALSE)))))</f>
        <v>124.31596555664173</v>
      </c>
      <c r="C153" s="26">
        <f t="shared" si="29"/>
        <v>919.08853663360901</v>
      </c>
      <c r="D153" s="27">
        <f t="shared" si="30"/>
        <v>0.32195680517125413</v>
      </c>
      <c r="E153" s="27">
        <f>IF(A153&gt;200,"",IF($C$1='Adj-Mixed'!$A$21,VLOOKUP(A153,'337'!$A$7:$AB$188,10,FALSE),IF($C$1='Adj-Mixed'!$A$20,VLOOKUP(A153,'337'!$A$7:$AB$188,19,FALSE),IF($C$1='Adj-Mixed'!$A$19,VLOOKUP(A153,'337'!$A$7:$AB$188,28,FALSE)))))</f>
        <v>3.1060067187214244</v>
      </c>
      <c r="F153" s="27">
        <f>IF(A153&gt;200,"",IF($C$1='Adj-Mixed'!$A$21,VLOOKUP(A153,'337'!$A$7:$AB$188,7,FALSE),IF($C$1='Adj-Mixed'!$A$20,VLOOKUP(A153,'337'!$A$7:$AB$188,16,FALSE),IF($C$1='Adj-Mixed'!$A$19,VLOOKUP(A153,'337'!$A$7:$AB$188,25,FALSE)))))</f>
        <v>2.8569407114526051</v>
      </c>
      <c r="G153" s="27">
        <f t="shared" si="32"/>
        <v>268.06868855304145</v>
      </c>
      <c r="H153" s="1"/>
      <c r="I153" s="136">
        <f t="shared" si="25"/>
        <v>136.49882620370312</v>
      </c>
      <c r="J153" s="26">
        <f>IF(A153&gt;200,"",(C153*'Adj-Mixed'!$C$6))</f>
        <v>1013.1888723958024</v>
      </c>
      <c r="K153" s="27">
        <f>IF(A153&gt;200,"",D153*'Adj-Mixed'!$C$7)</f>
        <v>0.28583636103511501</v>
      </c>
      <c r="L153" s="1">
        <f t="shared" si="26"/>
        <v>3.4985052159866741</v>
      </c>
      <c r="M153" s="27">
        <f t="shared" si="27"/>
        <v>3.5446465548563717</v>
      </c>
      <c r="N153" s="122">
        <f t="shared" si="31"/>
        <v>332.51399607975873</v>
      </c>
    </row>
    <row r="154" spans="1:17" x14ac:dyDescent="0.25">
      <c r="A154" s="22">
        <f t="shared" si="28"/>
        <v>172</v>
      </c>
      <c r="B154" s="28">
        <f>IF(A154&gt;200,"",IF($C$1='Adj-Mixed'!$A$21,VLOOKUP(A154,'337'!$A$6:$AB$188,4,FALSE),IF($C$1='Adj-Mixed'!$A$20,VLOOKUP(A154,'337'!$A$6:$AB$188,13,FALSE),IF($C$1='Adj-Mixed'!$A$19,VLOOKUP(A154,'337'!$A$6:$AB$188,22,FALSE)))))</f>
        <v>125.23186358164554</v>
      </c>
      <c r="C154" s="26">
        <f t="shared" si="29"/>
        <v>915.89802500381268</v>
      </c>
      <c r="D154" s="27">
        <f t="shared" si="30"/>
        <v>0.32038968941326473</v>
      </c>
      <c r="E154" s="27">
        <f>IF(A154&gt;200,"",IF($C$1='Adj-Mixed'!$A$21,VLOOKUP(A154,'337'!$A$7:$AB$188,10,FALSE),IF($C$1='Adj-Mixed'!$A$20,VLOOKUP(A154,'337'!$A$7:$AB$188,19,FALSE),IF($C$1='Adj-Mixed'!$A$19,VLOOKUP(A154,'337'!$A$7:$AB$188,28,FALSE)))))</f>
        <v>3.1211990680203145</v>
      </c>
      <c r="F154" s="27">
        <f>IF(A154&gt;200,"",IF($C$1='Adj-Mixed'!$A$21,VLOOKUP(A154,'337'!$A$7:$AB$188,7,FALSE),IF($C$1='Adj-Mixed'!$A$20,VLOOKUP(A154,'337'!$A$7:$AB$188,16,FALSE),IF($C$1='Adj-Mixed'!$A$19,VLOOKUP(A154,'337'!$A$7:$AB$188,25,FALSE)))))</f>
        <v>2.8608962278681789</v>
      </c>
      <c r="G154" s="27">
        <f t="shared" si="32"/>
        <v>270.92958478090964</v>
      </c>
      <c r="H154" s="1"/>
      <c r="I154" s="136">
        <f t="shared" si="25"/>
        <v>137.50849790582456</v>
      </c>
      <c r="J154" s="26">
        <f>IF(A154&gt;200,"",(C154*'Adj-Mixed'!$C$6))</f>
        <v>1009.6717021214355</v>
      </c>
      <c r="K154" s="27">
        <f>IF(A154&gt;200,"",D154*'Adj-Mixed'!$C$7)</f>
        <v>0.28444506053023449</v>
      </c>
      <c r="L154" s="1">
        <f t="shared" si="26"/>
        <v>3.5156173854307697</v>
      </c>
      <c r="M154" s="27">
        <f t="shared" si="27"/>
        <v>3.5496193895555956</v>
      </c>
      <c r="N154" s="122">
        <f t="shared" si="31"/>
        <v>336.0636154693143</v>
      </c>
    </row>
    <row r="155" spans="1:17" x14ac:dyDescent="0.25">
      <c r="A155" s="22">
        <f t="shared" si="28"/>
        <v>173</v>
      </c>
      <c r="B155" s="28">
        <f>IF(A155&gt;200,"",IF($C$1='Adj-Mixed'!$A$21,VLOOKUP(A155,'337'!$A$6:$AB$188,4,FALSE),IF($C$1='Adj-Mixed'!$A$20,VLOOKUP(A155,'337'!$A$6:$AB$188,13,FALSE),IF($C$1='Adj-Mixed'!$A$19,VLOOKUP(A155,'337'!$A$6:$AB$188,22,FALSE)))))</f>
        <v>126.14453168607582</v>
      </c>
      <c r="C155" s="26">
        <f t="shared" si="29"/>
        <v>912.66810443028135</v>
      </c>
      <c r="D155" s="27">
        <f t="shared" si="30"/>
        <v>0.31882350198877013</v>
      </c>
      <c r="E155" s="27">
        <f>IF(A155&gt;200,"",IF($C$1='Adj-Mixed'!$A$21,VLOOKUP(A155,'337'!$A$7:$AB$188,10,FALSE),IF($C$1='Adj-Mixed'!$A$20,VLOOKUP(A155,'337'!$A$7:$AB$188,19,FALSE),IF($C$1='Adj-Mixed'!$A$19,VLOOKUP(A155,'337'!$A$7:$AB$188,28,FALSE)))))</f>
        <v>3.1365316350964076</v>
      </c>
      <c r="F155" s="27">
        <f>IF(A155&gt;200,"",IF($C$1='Adj-Mixed'!$A$21,VLOOKUP(A155,'337'!$A$7:$AB$188,7,FALSE),IF($C$1='Adj-Mixed'!$A$20,VLOOKUP(A155,'337'!$A$7:$AB$188,16,FALSE),IF($C$1='Adj-Mixed'!$A$19,VLOOKUP(A155,'337'!$A$7:$AB$188,25,FALSE)))))</f>
        <v>2.8647599958357732</v>
      </c>
      <c r="G155" s="27">
        <f t="shared" si="32"/>
        <v>273.79434477674539</v>
      </c>
      <c r="H155" s="1"/>
      <c r="I155" s="136">
        <f t="shared" si="25"/>
        <v>138.51460899386652</v>
      </c>
      <c r="J155" s="26">
        <f>IF(A155&gt;200,"",(C155*'Adj-Mixed'!$C$6))</f>
        <v>1006.1110880419578</v>
      </c>
      <c r="K155" s="27">
        <f>IF(A155&gt;200,"",D155*'Adj-Mixed'!$C$7)</f>
        <v>0.28305458420879637</v>
      </c>
      <c r="L155" s="1">
        <f t="shared" si="26"/>
        <v>3.5328874916307518</v>
      </c>
      <c r="M155" s="27">
        <f t="shared" si="27"/>
        <v>3.5544772781344394</v>
      </c>
      <c r="N155" s="122">
        <f t="shared" si="31"/>
        <v>339.61809274744871</v>
      </c>
    </row>
    <row r="156" spans="1:17" x14ac:dyDescent="0.25">
      <c r="A156" s="22">
        <f t="shared" si="28"/>
        <v>174</v>
      </c>
      <c r="B156" s="28">
        <f>IF(A156&gt;200,"",IF($C$1='Adj-Mixed'!$A$21,VLOOKUP(A156,'337'!$A$6:$AB$188,4,FALSE),IF($C$1='Adj-Mixed'!$A$20,VLOOKUP(A156,'337'!$A$6:$AB$188,13,FALSE),IF($C$1='Adj-Mixed'!$A$19,VLOOKUP(A156,'337'!$A$6:$AB$188,22,FALSE)))))</f>
        <v>127.05393178840372</v>
      </c>
      <c r="C156" s="26">
        <f t="shared" si="29"/>
        <v>909.40010232789348</v>
      </c>
      <c r="D156" s="27">
        <f t="shared" si="30"/>
        <v>0.31725826752302488</v>
      </c>
      <c r="E156" s="27">
        <f>IF(A156&gt;200,"",IF($C$1='Adj-Mixed'!$A$21,VLOOKUP(A156,'337'!$A$7:$AB$188,10,FALSE),IF($C$1='Adj-Mixed'!$A$20,VLOOKUP(A156,'337'!$A$7:$AB$188,19,FALSE),IF($C$1='Adj-Mixed'!$A$19,VLOOKUP(A156,'337'!$A$7:$AB$188,28,FALSE)))))</f>
        <v>3.1520061173107976</v>
      </c>
      <c r="F156" s="27">
        <f>IF(A156&gt;200,"",IF($C$1='Adj-Mixed'!$A$21,VLOOKUP(A156,'337'!$A$7:$AB$188,7,FALSE),IF($C$1='Adj-Mixed'!$A$20,VLOOKUP(A156,'337'!$A$7:$AB$188,16,FALSE),IF($C$1='Adj-Mixed'!$A$19,VLOOKUP(A156,'337'!$A$7:$AB$188,25,FALSE)))))</f>
        <v>2.8685345751742832</v>
      </c>
      <c r="G156" s="27">
        <f t="shared" si="32"/>
        <v>276.66287935191968</v>
      </c>
      <c r="H156" s="1"/>
      <c r="I156" s="136">
        <f t="shared" si="25"/>
        <v>139.51711748734536</v>
      </c>
      <c r="J156" s="26">
        <f>IF(A156&gt;200,"",(C156*'Adj-Mixed'!$C$6))</f>
        <v>1002.5084934788342</v>
      </c>
      <c r="K156" s="27">
        <f>IF(A156&gt;200,"",D156*'Adj-Mixed'!$C$7)</f>
        <v>0.28166495393333946</v>
      </c>
      <c r="L156" s="1">
        <f t="shared" si="26"/>
        <v>3.5503174464390983</v>
      </c>
      <c r="M156" s="27">
        <f t="shared" si="27"/>
        <v>3.5592233946012821</v>
      </c>
      <c r="N156" s="122">
        <f t="shared" si="31"/>
        <v>343.17731614205002</v>
      </c>
    </row>
    <row r="157" spans="1:17" x14ac:dyDescent="0.25">
      <c r="A157" s="22">
        <f t="shared" si="28"/>
        <v>175</v>
      </c>
      <c r="B157" s="28">
        <f>IF(A157&gt;200,"",IF($C$1='Adj-Mixed'!$A$21,VLOOKUP(A157,'337'!$A$6:$AB$188,4,FALSE),IF($C$1='Adj-Mixed'!$A$20,VLOOKUP(A157,'337'!$A$6:$AB$188,13,FALSE),IF($C$1='Adj-Mixed'!$A$19,VLOOKUP(A157,'337'!$A$6:$AB$188,22,FALSE)))))</f>
        <v>127.96002711559012</v>
      </c>
      <c r="C157" s="26">
        <f t="shared" si="29"/>
        <v>906.09532718640651</v>
      </c>
      <c r="D157" s="27">
        <f t="shared" si="30"/>
        <v>0.31569401755260018</v>
      </c>
      <c r="E157" s="27">
        <f>IF(A157&gt;200,"",IF($C$1='Adj-Mixed'!$A$21,VLOOKUP(A157,'337'!$A$7:$AB$188,10,FALSE),IF($C$1='Adj-Mixed'!$A$20,VLOOKUP(A157,'337'!$A$7:$AB$188,19,FALSE),IF($C$1='Adj-Mixed'!$A$19,VLOOKUP(A157,'337'!$A$7:$AB$188,28,FALSE)))))</f>
        <v>3.1676241689736244</v>
      </c>
      <c r="F157" s="27">
        <f>IF(A157&gt;200,"",IF($C$1='Adj-Mixed'!$A$21,VLOOKUP(A157,'337'!$A$7:$AB$188,7,FALSE),IF($C$1='Adj-Mixed'!$A$20,VLOOKUP(A157,'337'!$A$7:$AB$188,16,FALSE),IF($C$1='Adj-Mixed'!$A$19,VLOOKUP(A157,'337'!$A$7:$AB$188,25,FALSE)))))</f>
        <v>2.8722224510677417</v>
      </c>
      <c r="G157" s="27">
        <f t="shared" si="32"/>
        <v>279.53510180298741</v>
      </c>
      <c r="H157" s="1"/>
      <c r="I157" s="136">
        <f t="shared" si="25"/>
        <v>140.51598284823612</v>
      </c>
      <c r="J157" s="26">
        <f>IF(A157&gt;200,"",(C157*'Adj-Mixed'!$C$6))</f>
        <v>998.8653608907714</v>
      </c>
      <c r="K157" s="27">
        <f>IF(A157&gt;200,"",D157*'Adj-Mixed'!$C$7)</f>
        <v>0.28027619770233619</v>
      </c>
      <c r="L157" s="1">
        <f t="shared" si="26"/>
        <v>3.5679091132170897</v>
      </c>
      <c r="M157" s="27">
        <f t="shared" si="27"/>
        <v>3.5638608239990601</v>
      </c>
      <c r="N157" s="122">
        <f t="shared" si="31"/>
        <v>346.74117696604907</v>
      </c>
    </row>
    <row r="158" spans="1:17" x14ac:dyDescent="0.25">
      <c r="A158" s="22">
        <f t="shared" si="28"/>
        <v>176</v>
      </c>
      <c r="B158" s="28">
        <f>IF(A158&gt;200,"",IF($C$1='Adj-Mixed'!$A$21,VLOOKUP(A158,'337'!$A$6:$AB$188,4,FALSE),IF($C$1='Adj-Mixed'!$A$20,VLOOKUP(A158,'337'!$A$6:$AB$188,13,FALSE),IF($C$1='Adj-Mixed'!$A$19,VLOOKUP(A158,'337'!$A$6:$AB$188,22,FALSE)))))</f>
        <v>128.86278218407222</v>
      </c>
      <c r="C158" s="26">
        <f t="shared" si="29"/>
        <v>902.75506848209375</v>
      </c>
      <c r="D158" s="27">
        <f t="shared" si="30"/>
        <v>0.31413079007873401</v>
      </c>
      <c r="E158" s="27">
        <f>IF(A158&gt;200,"",IF($C$1='Adj-Mixed'!$A$21,VLOOKUP(A158,'337'!$A$7:$AB$188,10,FALSE),IF($C$1='Adj-Mixed'!$A$20,VLOOKUP(A158,'337'!$A$7:$AB$188,19,FALSE),IF($C$1='Adj-Mixed'!$A$19,VLOOKUP(A158,'337'!$A$7:$AB$188,28,FALSE)))))</f>
        <v>3.1833874029010625</v>
      </c>
      <c r="F158" s="27">
        <f>IF(A158&gt;200,"",IF($C$1='Adj-Mixed'!$A$21,VLOOKUP(A158,'337'!$A$7:$AB$188,7,FALSE),IF($C$1='Adj-Mixed'!$A$20,VLOOKUP(A158,'337'!$A$7:$AB$188,16,FALSE),IF($C$1='Adj-Mixed'!$A$19,VLOOKUP(A158,'337'!$A$7:$AB$188,25,FALSE)))))</f>
        <v>2.8758260358343382</v>
      </c>
      <c r="G158" s="27">
        <f t="shared" si="32"/>
        <v>282.41092783882175</v>
      </c>
      <c r="H158" s="1"/>
      <c r="I158" s="136">
        <f t="shared" si="25"/>
        <v>141.51116596001242</v>
      </c>
      <c r="J158" s="26">
        <f>IF(A158&gt;200,"",(C158*'Adj-Mixed'!$C$6))</f>
        <v>995.18311177630756</v>
      </c>
      <c r="K158" s="27">
        <f>IF(A158&gt;200,"",D158*'Adj-Mixed'!$C$7)</f>
        <v>0.27888834925365269</v>
      </c>
      <c r="L158" s="1">
        <f t="shared" si="26"/>
        <v>3.5856643085885476</v>
      </c>
      <c r="M158" s="27">
        <f t="shared" si="27"/>
        <v>3.5683925644063934</v>
      </c>
      <c r="N158" s="122">
        <f t="shared" si="31"/>
        <v>350.30956953045546</v>
      </c>
    </row>
    <row r="159" spans="1:17" x14ac:dyDescent="0.25">
      <c r="A159" s="22">
        <f t="shared" si="28"/>
        <v>177</v>
      </c>
      <c r="B159" s="28">
        <f>IF(A159&gt;200,"",IF($C$1='Adj-Mixed'!$A$21,VLOOKUP(A159,'337'!$A$6:$AB$188,4,FALSE),IF($C$1='Adj-Mixed'!$A$20,VLOOKUP(A159,'337'!$A$6:$AB$188,13,FALSE),IF($C$1='Adj-Mixed'!$A$19,VLOOKUP(A159,'337'!$A$6:$AB$188,22,FALSE)))))</f>
        <v>129.76216278067747</v>
      </c>
      <c r="C159" s="26">
        <f t="shared" si="29"/>
        <v>899.38059660525482</v>
      </c>
      <c r="D159" s="27">
        <f t="shared" si="30"/>
        <v>0.31256862913704681</v>
      </c>
      <c r="E159" s="27">
        <f>IF(A159&gt;200,"",IF($C$1='Adj-Mixed'!$A$21,VLOOKUP(A159,'337'!$A$7:$AB$188,10,FALSE),IF($C$1='Adj-Mixed'!$A$20,VLOOKUP(A159,'337'!$A$7:$AB$188,19,FALSE),IF($C$1='Adj-Mixed'!$A$19,VLOOKUP(A159,'337'!$A$7:$AB$188,28,FALSE)))))</f>
        <v>3.1992973919386722</v>
      </c>
      <c r="F159" s="27">
        <f>IF(A159&gt;200,"",IF($C$1='Adj-Mixed'!$A$21,VLOOKUP(A159,'337'!$A$7:$AB$188,7,FALSE),IF($C$1='Adj-Mixed'!$A$20,VLOOKUP(A159,'337'!$A$7:$AB$188,16,FALSE),IF($C$1='Adj-Mixed'!$A$19,VLOOKUP(A159,'337'!$A$7:$AB$188,25,FALSE)))))</f>
        <v>2.879347670698496</v>
      </c>
      <c r="G159" s="27">
        <f t="shared" si="32"/>
        <v>285.29027550952026</v>
      </c>
      <c r="H159" s="1"/>
      <c r="I159" s="136">
        <f t="shared" si="25"/>
        <v>142.50262910660632</v>
      </c>
      <c r="J159" s="26">
        <f>IF(A159&gt;200,"",(C159*'Adj-Mixed'!$C$6))</f>
        <v>991.46314659390134</v>
      </c>
      <c r="K159" s="27">
        <f>IF(A159&gt;200,"",D159*'Adj-Mixed'!$C$7)</f>
        <v>0.27750144768253804</v>
      </c>
      <c r="L159" s="1">
        <f t="shared" si="26"/>
        <v>3.6035848041556924</v>
      </c>
      <c r="M159" s="27">
        <f t="shared" si="27"/>
        <v>3.5728215289461707</v>
      </c>
      <c r="N159" s="122">
        <f t="shared" si="31"/>
        <v>353.88239105940164</v>
      </c>
    </row>
    <row r="160" spans="1:17" x14ac:dyDescent="0.25">
      <c r="A160" s="22">
        <f t="shared" si="28"/>
        <v>178</v>
      </c>
      <c r="B160" s="28">
        <f>IF(A160&gt;200,"",IF($C$1='Adj-Mixed'!$A$21,VLOOKUP(A160,'337'!$A$6:$AB$188,4,FALSE),IF($C$1='Adj-Mixed'!$A$20,VLOOKUP(A160,'337'!$A$6:$AB$188,13,FALSE),IF($C$1='Adj-Mixed'!$A$19,VLOOKUP(A160,'337'!$A$6:$AB$188,22,FALSE)))))</f>
        <v>130.65813594347998</v>
      </c>
      <c r="C160" s="26">
        <f t="shared" si="29"/>
        <v>895.97316280250539</v>
      </c>
      <c r="D160" s="27">
        <f t="shared" si="30"/>
        <v>0.31100758438327081</v>
      </c>
      <c r="E160" s="27">
        <f>IF(A160&gt;200,"",IF($C$1='Adj-Mixed'!$A$21,VLOOKUP(A160,'337'!$A$7:$AB$188,10,FALSE),IF($C$1='Adj-Mixed'!$A$20,VLOOKUP(A160,'337'!$A$7:$AB$188,19,FALSE),IF($C$1='Adj-Mixed'!$A$19,VLOOKUP(A160,'337'!$A$7:$AB$188,28,FALSE)))))</f>
        <v>3.2153556704509434</v>
      </c>
      <c r="F160" s="27">
        <f>IF(A160&gt;200,"",IF($C$1='Adj-Mixed'!$A$21,VLOOKUP(A160,'337'!$A$7:$AB$188,7,FALSE),IF($C$1='Adj-Mixed'!$A$20,VLOOKUP(A160,'337'!$A$7:$AB$188,16,FALSE),IF($C$1='Adj-Mixed'!$A$19,VLOOKUP(A160,'337'!$A$7:$AB$188,25,FALSE)))))</f>
        <v>2.8827896275613858</v>
      </c>
      <c r="G160" s="27">
        <f t="shared" si="32"/>
        <v>288.17306513708166</v>
      </c>
      <c r="H160" s="1"/>
      <c r="I160" s="136">
        <f t="shared" si="25"/>
        <v>143.49033595130464</v>
      </c>
      <c r="J160" s="26">
        <f>IF(A160&gt;200,"",(C160*'Adj-Mixed'!$C$6))</f>
        <v>987.70684469831224</v>
      </c>
      <c r="K160" s="27">
        <f>IF(A160&gt;200,"",D160*'Adj-Mixed'!$C$7)</f>
        <v>0.27611553707383091</v>
      </c>
      <c r="L160" s="1">
        <f t="shared" si="26"/>
        <v>3.6216723281769134</v>
      </c>
      <c r="M160" s="27">
        <f t="shared" si="27"/>
        <v>3.5771505477948096</v>
      </c>
      <c r="N160" s="122">
        <f t="shared" si="31"/>
        <v>357.45954160719646</v>
      </c>
    </row>
    <row r="161" spans="1:14" x14ac:dyDescent="0.25">
      <c r="A161" s="22">
        <f t="shared" si="28"/>
        <v>179</v>
      </c>
      <c r="B161" s="28">
        <f>IF(A161&gt;200,"",IF($C$1='Adj-Mixed'!$A$21,VLOOKUP(A161,'337'!$A$6:$AB$188,4,FALSE),IF($C$1='Adj-Mixed'!$A$20,VLOOKUP(A161,'337'!$A$6:$AB$188,13,FALSE),IF($C$1='Adj-Mixed'!$A$19,VLOOKUP(A161,'337'!$A$6:$AB$188,22,FALSE)))))</f>
        <v>131.55066994261387</v>
      </c>
      <c r="C161" s="26">
        <f t="shared" si="29"/>
        <v>892.53399913388876</v>
      </c>
      <c r="D161" s="27">
        <f t="shared" si="30"/>
        <v>0.30944771069468835</v>
      </c>
      <c r="E161" s="27">
        <f>IF(A161&gt;200,"",IF($C$1='Adj-Mixed'!$A$21,VLOOKUP(A161,'337'!$A$7:$AB$188,10,FALSE),IF($C$1='Adj-Mixed'!$A$20,VLOOKUP(A161,'337'!$A$7:$AB$188,19,FALSE),IF($C$1='Adj-Mixed'!$A$19,VLOOKUP(A161,'337'!$A$7:$AB$188,28,FALSE)))))</f>
        <v>3.2315637357764588</v>
      </c>
      <c r="F161" s="27">
        <f>IF(A161&gt;200,"",IF($C$1='Adj-Mixed'!$A$21,VLOOKUP(A161,'337'!$A$7:$AB$188,7,FALSE),IF($C$1='Adj-Mixed'!$A$20,VLOOKUP(A161,'337'!$A$7:$AB$188,16,FALSE),IF($C$1='Adj-Mixed'!$A$19,VLOOKUP(A161,'337'!$A$7:$AB$188,25,FALSE)))))</f>
        <v>2.886154110765677</v>
      </c>
      <c r="G161" s="27">
        <f t="shared" si="32"/>
        <v>291.05921924784735</v>
      </c>
      <c r="H161" s="1"/>
      <c r="I161" s="136">
        <f t="shared" si="25"/>
        <v>144.47425151559796</v>
      </c>
      <c r="J161" s="26">
        <f>IF(A161&gt;200,"",(C161*'Adj-Mixed'!$C$6))</f>
        <v>983.91556429332184</v>
      </c>
      <c r="K161" s="27">
        <f>IF(A161&gt;200,"",D161*'Adj-Mixed'!$C$7)</f>
        <v>0.27473066614811259</v>
      </c>
      <c r="L161" s="1">
        <f t="shared" si="26"/>
        <v>3.6399285672058204</v>
      </c>
      <c r="M161" s="27">
        <f t="shared" si="27"/>
        <v>3.5813823701896972</v>
      </c>
      <c r="N161" s="122">
        <f t="shared" si="31"/>
        <v>361.04092397738617</v>
      </c>
    </row>
    <row r="162" spans="1:14" x14ac:dyDescent="0.25">
      <c r="A162" s="22">
        <f t="shared" si="28"/>
        <v>180</v>
      </c>
      <c r="B162" s="28">
        <f>IF(A162&gt;200,"",IF($C$1='Adj-Mixed'!$A$21,VLOOKUP(A162,'337'!$A$6:$AB$188,4,FALSE),IF($C$1='Adj-Mixed'!$A$20,VLOOKUP(A162,'337'!$A$6:$AB$188,13,FALSE),IF($C$1='Adj-Mixed'!$A$19,VLOOKUP(A162,'337'!$A$6:$AB$188,22,FALSE)))))</f>
        <v>132.43973426105765</v>
      </c>
      <c r="C162" s="26">
        <f t="shared" si="29"/>
        <v>889.06431844378631</v>
      </c>
      <c r="D162" s="27">
        <f t="shared" si="30"/>
        <v>0.30788906778700431</v>
      </c>
      <c r="E162" s="27">
        <f>IF(A162&gt;200,"",IF($C$1='Adj-Mixed'!$A$21,VLOOKUP(A162,'337'!$A$7:$AB$188,10,FALSE),IF($C$1='Adj-Mixed'!$A$20,VLOOKUP(A162,'337'!$A$7:$AB$188,19,FALSE),IF($C$1='Adj-Mixed'!$A$19,VLOOKUP(A162,'337'!$A$7:$AB$188,28,FALSE)))))</f>
        <v>3.2479230496478477</v>
      </c>
      <c r="F162" s="27">
        <f>IF(A162&gt;200,"",IF($C$1='Adj-Mixed'!$A$21,VLOOKUP(A162,'337'!$A$7:$AB$188,7,FALSE),IF($C$1='Adj-Mixed'!$A$20,VLOOKUP(A162,'337'!$A$7:$AB$188,16,FALSE),IF($C$1='Adj-Mixed'!$A$19,VLOOKUP(A162,'337'!$A$7:$AB$188,25,FALSE)))))</f>
        <v>2.8894432588506951</v>
      </c>
      <c r="G162" s="27">
        <f t="shared" si="32"/>
        <v>293.94866250669804</v>
      </c>
      <c r="H162" s="1"/>
      <c r="I162" s="136">
        <f t="shared" si="25"/>
        <v>145.45434215799762</v>
      </c>
      <c r="J162" s="26">
        <f>IF(A162&gt;200,"",(C162*'Adj-Mixed'!$C$6))</f>
        <v>980.09064239966551</v>
      </c>
      <c r="K162" s="27">
        <f>IF(A162&gt;200,"",D162*'Adj-Mixed'!$C$7)</f>
        <v>0.27334688792156253</v>
      </c>
      <c r="L162" s="1">
        <f t="shared" si="26"/>
        <v>3.658355167690631</v>
      </c>
      <c r="M162" s="27">
        <f t="shared" si="27"/>
        <v>3.5855196664280462</v>
      </c>
      <c r="N162" s="122">
        <f t="shared" si="31"/>
        <v>364.62644364381424</v>
      </c>
    </row>
    <row r="163" spans="1:14" x14ac:dyDescent="0.25">
      <c r="A163" s="22">
        <f t="shared" si="28"/>
        <v>181</v>
      </c>
      <c r="B163" s="28">
        <f>IF(A163&gt;200,"",IF($C$1='Adj-Mixed'!$A$21,VLOOKUP(A163,'337'!$A$6:$AB$188,4,FALSE),IF($C$1='Adj-Mixed'!$A$20,VLOOKUP(A163,'337'!$A$6:$AB$188,13,FALSE),IF($C$1='Adj-Mixed'!$A$19,VLOOKUP(A163,'337'!$A$6:$AB$188,22,FALSE)))))</f>
        <v>133.32529957540294</v>
      </c>
      <c r="C163" s="26">
        <f t="shared" si="29"/>
        <v>885.56531434528551</v>
      </c>
      <c r="D163" s="27">
        <f t="shared" si="30"/>
        <v>0.30633171984634383</v>
      </c>
      <c r="E163" s="27">
        <f>IF(A163&gt;200,"",IF($C$1='Adj-Mixed'!$A$21,VLOOKUP(A163,'337'!$A$7:$AB$188,10,FALSE),IF($C$1='Adj-Mixed'!$A$20,VLOOKUP(A163,'337'!$A$7:$AB$188,19,FALSE),IF($C$1='Adj-Mixed'!$A$19,VLOOKUP(A163,'337'!$A$7:$AB$188,28,FALSE)))))</f>
        <v>3.2644350395760537</v>
      </c>
      <c r="F163" s="27">
        <f>IF(A163&gt;200,"",IF($C$1='Adj-Mixed'!$A$21,VLOOKUP(A163,'337'!$A$7:$AB$188,7,FALSE),IF($C$1='Adj-Mixed'!$A$20,VLOOKUP(A163,'337'!$A$7:$AB$188,16,FALSE),IF($C$1='Adj-Mixed'!$A$19,VLOOKUP(A163,'337'!$A$7:$AB$188,25,FALSE)))))</f>
        <v>2.8926591462945286</v>
      </c>
      <c r="G163" s="27">
        <f t="shared" si="32"/>
        <v>296.84132165299258</v>
      </c>
      <c r="H163" s="1"/>
      <c r="I163" s="136">
        <f t="shared" si="25"/>
        <v>146.43057555283542</v>
      </c>
      <c r="J163" s="26">
        <f>IF(A163&gt;200,"",(C163*'Adj-Mixed'!$C$6))</f>
        <v>976.23339483780023</v>
      </c>
      <c r="K163" s="27">
        <f>IF(A163&gt;200,"",D163*'Adj-Mixed'!$C$7)</f>
        <v>0.27196425937924257</v>
      </c>
      <c r="L163" s="1">
        <f t="shared" si="26"/>
        <v>3.676953737533367</v>
      </c>
      <c r="M163" s="27">
        <f t="shared" si="27"/>
        <v>3.5895650298537367</v>
      </c>
      <c r="N163" s="122">
        <f t="shared" si="31"/>
        <v>368.216008673668</v>
      </c>
    </row>
    <row r="164" spans="1:14" x14ac:dyDescent="0.25">
      <c r="A164" s="22">
        <f t="shared" si="28"/>
        <v>182</v>
      </c>
      <c r="B164" s="28">
        <f>IF(A164&gt;200,"",IF($C$1='Adj-Mixed'!$A$21,VLOOKUP(A164,'337'!$A$6:$AB$188,4,FALSE),IF($C$1='Adj-Mixed'!$A$20,VLOOKUP(A164,'337'!$A$6:$AB$188,13,FALSE),IF($C$1='Adj-Mixed'!$A$19,VLOOKUP(A164,'337'!$A$6:$AB$188,22,FALSE)))))</f>
        <v>134.20733773662113</v>
      </c>
      <c r="C164" s="26">
        <f t="shared" si="29"/>
        <v>882.03816121819045</v>
      </c>
      <c r="D164" s="27">
        <f t="shared" si="30"/>
        <v>0.30477573517609474</v>
      </c>
      <c r="E164" s="27">
        <f>IF(A164&gt;200,"",IF($C$1='Adj-Mixed'!$A$21,VLOOKUP(A164,'337'!$A$7:$AB$188,10,FALSE),IF($C$1='Adj-Mixed'!$A$20,VLOOKUP(A164,'337'!$A$7:$AB$188,19,FALSE),IF($C$1='Adj-Mixed'!$A$19,VLOOKUP(A164,'337'!$A$7:$AB$188,28,FALSE)))))</f>
        <v>3.2811011001982009</v>
      </c>
      <c r="F164" s="27">
        <f>IF(A164&gt;200,"",IF($C$1='Adj-Mixed'!$A$21,VLOOKUP(A164,'337'!$A$7:$AB$188,7,FALSE),IF($C$1='Adj-Mixed'!$A$20,VLOOKUP(A164,'337'!$A$7:$AB$188,16,FALSE),IF($C$1='Adj-Mixed'!$A$19,VLOOKUP(A164,'337'!$A$7:$AB$188,25,FALSE)))))</f>
        <v>2.8958037852399836</v>
      </c>
      <c r="G164" s="27">
        <f t="shared" si="32"/>
        <v>299.73712543823257</v>
      </c>
      <c r="H164" s="1"/>
      <c r="I164" s="136">
        <f t="shared" ref="I164:I185" si="33">IF(A164&gt;200,"",I163+(J164/1000))</f>
        <v>147.40292066906113</v>
      </c>
      <c r="J164" s="26">
        <f>IF(A164&gt;200,"",(C164*'Adj-Mixed'!$C$6))</f>
        <v>972.34511622571108</v>
      </c>
      <c r="K164" s="27">
        <f>IF(A164&gt;200,"",D164*'Adj-Mixed'!$C$7)</f>
        <v>0.27058284116156012</v>
      </c>
      <c r="L164" s="1">
        <f t="shared" ref="L164:L185" si="34">IF(A164&gt;200,"",1/K164)</f>
        <v>3.6957258476080459</v>
      </c>
      <c r="M164" s="27">
        <f t="shared" ref="M164:M185" si="35">IF(A164&gt;200,"",(J164/1000)/K164)</f>
        <v>3.59352097883081</v>
      </c>
      <c r="N164" s="122">
        <f t="shared" si="31"/>
        <v>371.80952965249878</v>
      </c>
    </row>
    <row r="165" spans="1:14" x14ac:dyDescent="0.25">
      <c r="A165" s="22">
        <f t="shared" si="28"/>
        <v>183</v>
      </c>
      <c r="B165" s="28">
        <f>IF(A165&gt;200,"",IF($C$1='Adj-Mixed'!$A$21,VLOOKUP(A165,'337'!$A$6:$AB$188,4,FALSE),IF($C$1='Adj-Mixed'!$A$20,VLOOKUP(A165,'337'!$A$6:$AB$188,13,FALSE),IF($C$1='Adj-Mixed'!$A$19,VLOOKUP(A165,'337'!$A$6:$AB$188,22,FALSE)))))</f>
        <v>135.08582175083933</v>
      </c>
      <c r="C165" s="26">
        <f t="shared" si="29"/>
        <v>878.48401421820199</v>
      </c>
      <c r="D165" s="27">
        <f t="shared" si="30"/>
        <v>0.30322118585812052</v>
      </c>
      <c r="E165" s="27">
        <f>IF(A165&gt;200,"",IF($C$1='Adj-Mixed'!$A$21,VLOOKUP(A165,'337'!$A$7:$AB$188,10,FALSE),IF($C$1='Adj-Mixed'!$A$20,VLOOKUP(A165,'337'!$A$7:$AB$188,19,FALSE),IF($C$1='Adj-Mixed'!$A$19,VLOOKUP(A165,'337'!$A$7:$AB$188,28,FALSE)))))</f>
        <v>3.2979225945904305</v>
      </c>
      <c r="F165" s="27">
        <f>IF(A165&gt;200,"",IF($C$1='Adj-Mixed'!$A$21,VLOOKUP(A165,'337'!$A$7:$AB$188,7,FALSE),IF($C$1='Adj-Mixed'!$A$20,VLOOKUP(A165,'337'!$A$7:$AB$188,16,FALSE),IF($C$1='Adj-Mixed'!$A$19,VLOOKUP(A165,'337'!$A$7:$AB$188,25,FALSE)))))</f>
        <v>2.8988791272015844</v>
      </c>
      <c r="G165" s="27">
        <f t="shared" si="32"/>
        <v>302.63600456543418</v>
      </c>
      <c r="H165" s="1"/>
      <c r="I165" s="136">
        <f t="shared" si="33"/>
        <v>148.37134774905016</v>
      </c>
      <c r="J165" s="26">
        <f>IF(A165&gt;200,"",(C165*'Adj-Mixed'!$C$6))</f>
        <v>968.42707998903165</v>
      </c>
      <c r="K165" s="27">
        <f>IF(A165&gt;200,"",D165*'Adj-Mixed'!$C$7)</f>
        <v>0.26920269726348961</v>
      </c>
      <c r="L165" s="1">
        <f t="shared" si="34"/>
        <v>3.7146730332394191</v>
      </c>
      <c r="M165" s="27">
        <f t="shared" si="35"/>
        <v>3.5973899586940496</v>
      </c>
      <c r="N165" s="122">
        <f t="shared" ref="N165:N185" si="36">IF(A165&gt;200,"",N164+M165)</f>
        <v>375.40691961119285</v>
      </c>
    </row>
    <row r="166" spans="1:14" x14ac:dyDescent="0.25">
      <c r="A166" s="22">
        <f t="shared" si="28"/>
        <v>184</v>
      </c>
      <c r="B166" s="28">
        <f>IF(A166&gt;200,"",IF($C$1='Adj-Mixed'!$A$21,VLOOKUP(A166,'337'!$A$6:$AB$188,4,FALSE),IF($C$1='Adj-Mixed'!$A$20,VLOOKUP(A166,'337'!$A$6:$AB$188,13,FALSE),IF($C$1='Adj-Mixed'!$A$19,VLOOKUP(A166,'337'!$A$6:$AB$188,22,FALSE)))))</f>
        <v>135.96072576013916</v>
      </c>
      <c r="C166" s="26">
        <f t="shared" si="29"/>
        <v>874.9040092998257</v>
      </c>
      <c r="D166" s="27">
        <f t="shared" si="30"/>
        <v>0.30166814742821757</v>
      </c>
      <c r="E166" s="27">
        <f>IF(A166&gt;200,"",IF($C$1='Adj-Mixed'!$A$21,VLOOKUP(A166,'337'!$A$7:$AB$188,10,FALSE),IF($C$1='Adj-Mixed'!$A$20,VLOOKUP(A166,'337'!$A$7:$AB$188,19,FALSE),IF($C$1='Adj-Mixed'!$A$19,VLOOKUP(A166,'337'!$A$7:$AB$188,28,FALSE)))))</f>
        <v>3.3149008555434301</v>
      </c>
      <c r="F166" s="27">
        <f>IF(A166&gt;200,"",IF($C$1='Adj-Mixed'!$A$21,VLOOKUP(A166,'337'!$A$7:$AB$188,7,FALSE),IF($C$1='Adj-Mixed'!$A$20,VLOOKUP(A166,'337'!$A$7:$AB$188,16,FALSE),IF($C$1='Adj-Mixed'!$A$19,VLOOKUP(A166,'337'!$A$7:$AB$188,25,FALSE)))))</f>
        <v>2.9018870647511421</v>
      </c>
      <c r="G166" s="27">
        <f t="shared" si="32"/>
        <v>305.5378916301853</v>
      </c>
      <c r="H166" s="1"/>
      <c r="I166" s="136">
        <f t="shared" si="33"/>
        <v>149.33582828743644</v>
      </c>
      <c r="J166" s="26">
        <f>IF(A166&gt;200,"",(C166*'Adj-Mixed'!$C$6))</f>
        <v>964.48053838629687</v>
      </c>
      <c r="K166" s="27">
        <f>IF(A166&gt;200,"",D166*'Adj-Mixed'!$C$7)</f>
        <v>0.26782389474644075</v>
      </c>
      <c r="L166" s="1">
        <f t="shared" si="34"/>
        <v>3.733796795639682</v>
      </c>
      <c r="M166" s="27">
        <f t="shared" si="35"/>
        <v>3.6011743436835908</v>
      </c>
      <c r="N166" s="122">
        <f t="shared" si="36"/>
        <v>379.00809395487641</v>
      </c>
    </row>
    <row r="167" spans="1:14" x14ac:dyDescent="0.25">
      <c r="A167" s="22">
        <f t="shared" si="28"/>
        <v>185</v>
      </c>
      <c r="B167" s="28">
        <f>IF(A167&gt;200,"",IF($C$1='Adj-Mixed'!$A$21,VLOOKUP(A167,'337'!$A$6:$AB$188,4,FALSE),IF($C$1='Adj-Mixed'!$A$20,VLOOKUP(A167,'337'!$A$6:$AB$188,13,FALSE),IF($C$1='Adj-Mixed'!$A$19,VLOOKUP(A167,'337'!$A$6:$AB$188,22,FALSE)))))</f>
        <v>136.83202502338852</v>
      </c>
      <c r="C167" s="26">
        <f t="shared" si="29"/>
        <v>871.29926324936946</v>
      </c>
      <c r="D167" s="27">
        <f t="shared" si="30"/>
        <v>0.30011669856533368</v>
      </c>
      <c r="E167" s="27">
        <f>IF(A167&gt;200,"",IF($C$1='Adj-Mixed'!$A$21,VLOOKUP(A167,'337'!$A$7:$AB$188,10,FALSE),IF($C$1='Adj-Mixed'!$A$20,VLOOKUP(A167,'337'!$A$7:$AB$188,19,FALSE),IF($C$1='Adj-Mixed'!$A$19,VLOOKUP(A167,'337'!$A$7:$AB$188,28,FALSE)))))</f>
        <v>3.3320371868022058</v>
      </c>
      <c r="F167" s="27">
        <f>IF(A167&gt;200,"",IF($C$1='Adj-Mixed'!$A$21,VLOOKUP(A167,'337'!$A$7:$AB$188,7,FALSE),IF($C$1='Adj-Mixed'!$A$20,VLOOKUP(A167,'337'!$A$7:$AB$188,16,FALSE),IF($C$1='Adj-Mixed'!$A$19,VLOOKUP(A167,'337'!$A$7:$AB$188,25,FALSE)))))</f>
        <v>2.9048294331796942</v>
      </c>
      <c r="G167" s="27">
        <f t="shared" si="32"/>
        <v>308.44272106336501</v>
      </c>
      <c r="H167" s="1"/>
      <c r="I167" s="136">
        <f t="shared" si="33"/>
        <v>150.29633500998176</v>
      </c>
      <c r="J167" s="26">
        <f>IF(A167&gt;200,"",(C167*'Adj-Mixed'!$C$6))</f>
        <v>960.50672254531992</v>
      </c>
      <c r="K167" s="27">
        <f>IF(A167&gt;200,"",D167*'Adj-Mixed'!$C$7)</f>
        <v>0.26644650346234311</v>
      </c>
      <c r="L167" s="1">
        <f t="shared" si="34"/>
        <v>3.7530986033049221</v>
      </c>
      <c r="M167" s="27">
        <f t="shared" si="35"/>
        <v>3.6048764388498284</v>
      </c>
      <c r="N167" s="122">
        <f t="shared" si="36"/>
        <v>382.61297039372624</v>
      </c>
    </row>
    <row r="168" spans="1:14" x14ac:dyDescent="0.25">
      <c r="A168" s="22">
        <f t="shared" si="28"/>
        <v>186</v>
      </c>
      <c r="B168" s="28">
        <f>IF(A168&gt;200,"",IF($C$1='Adj-Mixed'!$A$21,VLOOKUP(A168,'337'!$A$6:$AB$188,4,FALSE),IF($C$1='Adj-Mixed'!$A$20,VLOOKUP(A168,'337'!$A$6:$AB$188,13,FALSE),IF($C$1='Adj-Mixed'!$A$19,VLOOKUP(A168,'337'!$A$6:$AB$188,22,FALSE)))))</f>
        <v>137.69969589711843</v>
      </c>
      <c r="C168" s="26">
        <f t="shared" si="29"/>
        <v>867.67087372990659</v>
      </c>
      <c r="D168" s="27">
        <f t="shared" si="30"/>
        <v>0.29856692079424135</v>
      </c>
      <c r="E168" s="27">
        <f>IF(A168&gt;200,"",IF($C$1='Adj-Mixed'!$A$21,VLOOKUP(A168,'337'!$A$7:$AB$188,10,FALSE),IF($C$1='Adj-Mixed'!$A$20,VLOOKUP(A168,'337'!$A$7:$AB$188,19,FALSE),IF($C$1='Adj-Mixed'!$A$19,VLOOKUP(A168,'337'!$A$7:$AB$188,28,FALSE)))))</f>
        <v>3.3493328642698303</v>
      </c>
      <c r="F168" s="27">
        <f>IF(A168&gt;200,"",IF($C$1='Adj-Mixed'!$A$21,VLOOKUP(A168,'337'!$A$7:$AB$188,7,FALSE),IF($C$1='Adj-Mixed'!$A$20,VLOOKUP(A168,'337'!$A$7:$AB$188,16,FALSE),IF($C$1='Adj-Mixed'!$A$19,VLOOKUP(A168,'337'!$A$7:$AB$188,25,FALSE)))))</f>
        <v>2.9077080121338685</v>
      </c>
      <c r="G168" s="27">
        <f t="shared" si="32"/>
        <v>311.35042907549888</v>
      </c>
      <c r="H168" s="1"/>
      <c r="I168" s="136">
        <f t="shared" si="33"/>
        <v>151.25284185249453</v>
      </c>
      <c r="J168" s="26">
        <f>IF(A168&gt;200,"",(C168*'Adj-Mixed'!$C$6))</f>
        <v>956.506842512758</v>
      </c>
      <c r="K168" s="27">
        <f>IF(A168&gt;200,"",D168*'Adj-Mixed'!$C$7)</f>
        <v>0.26507059578967718</v>
      </c>
      <c r="L168" s="1">
        <f t="shared" si="34"/>
        <v>3.7725798933709709</v>
      </c>
      <c r="M168" s="27">
        <f t="shared" si="35"/>
        <v>3.6084984819353845</v>
      </c>
      <c r="N168" s="122">
        <f t="shared" si="36"/>
        <v>386.22146887566163</v>
      </c>
    </row>
    <row r="169" spans="1:14" x14ac:dyDescent="0.25">
      <c r="A169" s="22">
        <f t="shared" si="28"/>
        <v>187</v>
      </c>
      <c r="B169" s="28">
        <f>IF(A169&gt;200,"",IF($C$1='Adj-Mixed'!$A$21,VLOOKUP(A169,'337'!$A$6:$AB$188,4,FALSE),IF($C$1='Adj-Mixed'!$A$20,VLOOKUP(A169,'337'!$A$6:$AB$188,13,FALSE),IF($C$1='Adj-Mixed'!$A$19,VLOOKUP(A169,'337'!$A$6:$AB$188,22,FALSE)))))</f>
        <v>138.5637158164549</v>
      </c>
      <c r="C169" s="26">
        <f t="shared" si="29"/>
        <v>864.01991933647082</v>
      </c>
      <c r="D169" s="27">
        <f t="shared" si="30"/>
        <v>0.29701889820133498</v>
      </c>
      <c r="E169" s="27">
        <f>IF(A169&gt;200,"",IF($C$1='Adj-Mixed'!$A$21,VLOOKUP(A169,'337'!$A$7:$AB$188,10,FALSE),IF($C$1='Adj-Mixed'!$A$20,VLOOKUP(A169,'337'!$A$7:$AB$188,19,FALSE),IF($C$1='Adj-Mixed'!$A$19,VLOOKUP(A169,'337'!$A$7:$AB$188,28,FALSE)))))</f>
        <v>3.3667891371751963</v>
      </c>
      <c r="F169" s="27">
        <f>IF(A169&gt;200,"",IF($C$1='Adj-Mixed'!$A$21,VLOOKUP(A169,'337'!$A$7:$AB$188,7,FALSE),IF($C$1='Adj-Mixed'!$A$20,VLOOKUP(A169,'337'!$A$7:$AB$188,16,FALSE),IF($C$1='Adj-Mixed'!$A$19,VLOOKUP(A169,'337'!$A$7:$AB$188,25,FALSE)))))</f>
        <v>2.910524527224994</v>
      </c>
      <c r="G169" s="27">
        <f t="shared" si="32"/>
        <v>314.26095360272387</v>
      </c>
      <c r="H169" s="1"/>
      <c r="I169" s="136">
        <f t="shared" si="33"/>
        <v>152.20532393980949</v>
      </c>
      <c r="J169" s="26">
        <f>IF(A169&gt;200,"",(C169*'Adj-Mixed'!$C$6))</f>
        <v>952.4820873149589</v>
      </c>
      <c r="K169" s="27">
        <f>IF(A169&gt;200,"",D169*'Adj-Mixed'!$C$7)</f>
        <v>0.26369624638115591</v>
      </c>
      <c r="L169" s="1">
        <f t="shared" si="34"/>
        <v>3.7922420729287309</v>
      </c>
      <c r="M169" s="27">
        <f t="shared" si="35"/>
        <v>3.6120426452267638</v>
      </c>
      <c r="N169" s="122">
        <f t="shared" si="36"/>
        <v>389.83351152088841</v>
      </c>
    </row>
    <row r="170" spans="1:14" x14ac:dyDescent="0.25">
      <c r="A170" s="22">
        <f t="shared" si="28"/>
        <v>188</v>
      </c>
      <c r="B170" s="28">
        <f>IF(A170&gt;200,"",IF($C$1='Adj-Mixed'!$A$21,VLOOKUP(A170,'337'!$A$6:$AB$188,4,FALSE),IF($C$1='Adj-Mixed'!$A$20,VLOOKUP(A170,'337'!$A$6:$AB$188,13,FALSE),IF($C$1='Adj-Mixed'!$A$19,VLOOKUP(A170,'337'!$A$6:$AB$188,22,FALSE)))))</f>
        <v>139.4240632761163</v>
      </c>
      <c r="C170" s="26">
        <f t="shared" si="29"/>
        <v>860.34745966139781</v>
      </c>
      <c r="D170" s="27">
        <f t="shared" si="30"/>
        <v>0.29547271716314882</v>
      </c>
      <c r="E170" s="27">
        <f>IF(A170&gt;200,"",IF($C$1='Adj-Mixed'!$A$21,VLOOKUP(A170,'337'!$A$7:$AB$188,10,FALSE),IF($C$1='Adj-Mixed'!$A$20,VLOOKUP(A170,'337'!$A$7:$AB$188,19,FALSE),IF($C$1='Adj-Mixed'!$A$19,VLOOKUP(A170,'337'!$A$7:$AB$188,28,FALSE)))))</f>
        <v>3.3844072292056593</v>
      </c>
      <c r="F170" s="27">
        <f>IF(A170&gt;200,"",IF($C$1='Adj-Mixed'!$A$21,VLOOKUP(A170,'337'!$A$7:$AB$188,7,FALSE),IF($C$1='Adj-Mixed'!$A$20,VLOOKUP(A170,'337'!$A$7:$AB$188,16,FALSE),IF($C$1='Adj-Mixed'!$A$19,VLOOKUP(A170,'337'!$A$7:$AB$188,25,FALSE)))))</f>
        <v>2.9132806516094956</v>
      </c>
      <c r="G170" s="27">
        <f t="shared" si="32"/>
        <v>317.17423425433338</v>
      </c>
      <c r="H170" s="1"/>
      <c r="I170" s="136">
        <f t="shared" si="33"/>
        <v>153.15375756483948</v>
      </c>
      <c r="J170" s="26">
        <f>IF(A170&gt;200,"",(C170*'Adj-Mixed'!$C$6))</f>
        <v>948.4336250299923</v>
      </c>
      <c r="K170" s="27">
        <f>IF(A170&gt;200,"",D170*'Adj-Mixed'!$C$7)</f>
        <v>0.26232353192270075</v>
      </c>
      <c r="L170" s="1">
        <f t="shared" si="34"/>
        <v>3.8120865202999457</v>
      </c>
      <c r="M170" s="27">
        <f t="shared" si="35"/>
        <v>3.6155110373760468</v>
      </c>
      <c r="N170" s="122">
        <f t="shared" si="36"/>
        <v>393.44902255826446</v>
      </c>
    </row>
    <row r="171" spans="1:14" x14ac:dyDescent="0.25">
      <c r="A171" s="22">
        <f t="shared" si="28"/>
        <v>189</v>
      </c>
      <c r="B171" s="28">
        <f>IF(A171&gt;200,"",IF($C$1='Adj-Mixed'!$A$21,VLOOKUP(A171,'337'!$A$6:$AB$188,4,FALSE),IF($C$1='Adj-Mixed'!$A$20,VLOOKUP(A171,'337'!$A$6:$AB$188,13,FALSE),IF($C$1='Adj-Mixed'!$A$19,VLOOKUP(A171,'337'!$A$6:$AB$188,22,FALSE)))))</f>
        <v>140.28071781148589</v>
      </c>
      <c r="C171" s="26">
        <f t="shared" si="29"/>
        <v>856.6545353695858</v>
      </c>
      <c r="D171" s="27">
        <f t="shared" si="30"/>
        <v>0.29392846608736994</v>
      </c>
      <c r="E171" s="27">
        <f>IF(A171&gt;200,"",IF($C$1='Adj-Mixed'!$A$21,VLOOKUP(A171,'337'!$A$7:$AB$188,10,FALSE),IF($C$1='Adj-Mixed'!$A$20,VLOOKUP(A171,'337'!$A$7:$AB$188,19,FALSE),IF($C$1='Adj-Mixed'!$A$19,VLOOKUP(A171,'337'!$A$7:$AB$188,28,FALSE)))))</f>
        <v>3.4021883396035246</v>
      </c>
      <c r="F171" s="27">
        <f>IF(A171&gt;200,"",IF($C$1='Adj-Mixed'!$A$21,VLOOKUP(A171,'337'!$A$7:$AB$188,7,FALSE),IF($C$1='Adj-Mixed'!$A$20,VLOOKUP(A171,'337'!$A$7:$AB$188,16,FALSE),IF($C$1='Adj-Mixed'!$A$19,VLOOKUP(A171,'337'!$A$7:$AB$188,25,FALSE)))))</f>
        <v>2.9159780075393296</v>
      </c>
      <c r="G171" s="27">
        <f t="shared" si="32"/>
        <v>320.09021226187269</v>
      </c>
      <c r="H171" s="1"/>
      <c r="I171" s="136">
        <f t="shared" si="33"/>
        <v>154.09812016771011</v>
      </c>
      <c r="J171" s="26">
        <f>IF(A171&gt;200,"",(C171*'Adj-Mixed'!$C$6))</f>
        <v>944.36260287061612</v>
      </c>
      <c r="K171" s="27">
        <f>IF(A171&gt;200,"",D171*'Adj-Mixed'!$C$7)</f>
        <v>0.26095253090350995</v>
      </c>
      <c r="L171" s="1">
        <f t="shared" si="34"/>
        <v>3.8321145862722479</v>
      </c>
      <c r="M171" s="27">
        <f t="shared" si="35"/>
        <v>3.6189057051905142</v>
      </c>
      <c r="N171" s="122">
        <f t="shared" si="36"/>
        <v>397.06792826345497</v>
      </c>
    </row>
    <row r="172" spans="1:14" x14ac:dyDescent="0.25">
      <c r="A172" s="22">
        <f t="shared" si="28"/>
        <v>190</v>
      </c>
      <c r="B172" s="28">
        <f>IF(A172&gt;200,"",IF($C$1='Adj-Mixed'!$A$21,VLOOKUP(A172,'337'!$A$6:$AB$188,4,FALSE),IF($C$1='Adj-Mixed'!$A$20,VLOOKUP(A172,'337'!$A$6:$AB$188,13,FALSE),IF($C$1='Adj-Mixed'!$A$19,VLOOKUP(A172,'337'!$A$6:$AB$188,22,FALSE)))))</f>
        <v>141.13365997976882</v>
      </c>
      <c r="C172" s="26">
        <f t="shared" si="29"/>
        <v>852.94216828293656</v>
      </c>
      <c r="D172" s="27">
        <f t="shared" si="30"/>
        <v>0.29238623516585194</v>
      </c>
      <c r="E172" s="27">
        <f>IF(A172&gt;200,"",IF($C$1='Adj-Mixed'!$A$21,VLOOKUP(A172,'337'!$A$7:$AB$188,10,FALSE),IF($C$1='Adj-Mixed'!$A$20,VLOOKUP(A172,'337'!$A$7:$AB$188,19,FALSE),IF($C$1='Adj-Mixed'!$A$19,VLOOKUP(A172,'337'!$A$7:$AB$188,28,FALSE)))))</f>
        <v>3.4201336442283754</v>
      </c>
      <c r="F172" s="27">
        <f>IF(A172&gt;200,"",IF($C$1='Adj-Mixed'!$A$21,VLOOKUP(A172,'337'!$A$7:$AB$188,7,FALSE),IF($C$1='Adj-Mixed'!$A$20,VLOOKUP(A172,'337'!$A$7:$AB$188,16,FALSE),IF($C$1='Adj-Mixed'!$A$19,VLOOKUP(A172,'337'!$A$7:$AB$188,25,FALSE)))))</f>
        <v>2.9186181678814123</v>
      </c>
      <c r="G172" s="27">
        <f t="shared" si="32"/>
        <v>323.00883042975408</v>
      </c>
      <c r="H172" s="1"/>
      <c r="I172" s="136">
        <f t="shared" si="33"/>
        <v>155.03839031498748</v>
      </c>
      <c r="J172" s="26">
        <f>IF(A172&gt;200,"",(C172*'Adj-Mixed'!$C$6))</f>
        <v>940.27014727736253</v>
      </c>
      <c r="K172" s="27">
        <f>IF(A172&gt;200,"",D172*'Adj-Mixed'!$C$7)</f>
        <v>0.25958332339678225</v>
      </c>
      <c r="L172" s="1">
        <f t="shared" si="34"/>
        <v>3.8523275952957299</v>
      </c>
      <c r="M172" s="27">
        <f t="shared" si="35"/>
        <v>3.622228635389364</v>
      </c>
      <c r="N172" s="122">
        <f t="shared" si="36"/>
        <v>400.69015689884435</v>
      </c>
    </row>
    <row r="173" spans="1:14" x14ac:dyDescent="0.25">
      <c r="A173" s="22">
        <f t="shared" si="28"/>
        <v>191</v>
      </c>
      <c r="B173" s="28">
        <f>IF(A173&gt;200,"",IF($C$1='Adj-Mixed'!$A$21,VLOOKUP(A173,'337'!$A$6:$AB$188,4,FALSE),IF($C$1='Adj-Mixed'!$A$20,VLOOKUP(A173,'337'!$A$6:$AB$188,13,FALSE),IF($C$1='Adj-Mixed'!$A$19,VLOOKUP(A173,'337'!$A$6:$AB$188,22,FALSE)))))</f>
        <v>141.98287134124223</v>
      </c>
      <c r="C173" s="26">
        <f t="shared" si="29"/>
        <v>849.21136147340803</v>
      </c>
      <c r="D173" s="27">
        <f t="shared" si="30"/>
        <v>0.2908461161393332</v>
      </c>
      <c r="E173" s="27">
        <f>IF(A173&gt;200,"",IF($C$1='Adj-Mixed'!$A$21,VLOOKUP(A173,'337'!$A$7:$AB$188,10,FALSE),IF($C$1='Adj-Mixed'!$A$20,VLOOKUP(A173,'337'!$A$7:$AB$188,19,FALSE),IF($C$1='Adj-Mixed'!$A$19,VLOOKUP(A173,'337'!$A$7:$AB$188,28,FALSE)))))</f>
        <v>3.4382442965851343</v>
      </c>
      <c r="F173" s="27">
        <f>IF(A173&gt;200,"",IF($C$1='Adj-Mixed'!$A$21,VLOOKUP(A173,'337'!$A$7:$AB$188,7,FALSE),IF($C$1='Adj-Mixed'!$A$20,VLOOKUP(A173,'337'!$A$7:$AB$188,16,FALSE),IF($C$1='Adj-Mixed'!$A$19,VLOOKUP(A173,'337'!$A$7:$AB$188,25,FALSE)))))</f>
        <v>2.9212026576051793</v>
      </c>
      <c r="G173" s="27">
        <f t="shared" si="32"/>
        <v>325.93003308735928</v>
      </c>
      <c r="H173" s="1"/>
      <c r="I173" s="136">
        <f t="shared" si="33"/>
        <v>155.97454767900859</v>
      </c>
      <c r="J173" s="26">
        <f>IF(A173&gt;200,"",(C173*'Adj-Mixed'!$C$6))</f>
        <v>936.15736402111827</v>
      </c>
      <c r="K173" s="27">
        <f>IF(A173&gt;200,"",D173*'Adj-Mixed'!$C$7)</f>
        <v>0.2582159908508313</v>
      </c>
      <c r="L173" s="1">
        <f t="shared" si="34"/>
        <v>3.8727268466409179</v>
      </c>
      <c r="M173" s="27">
        <f t="shared" si="35"/>
        <v>3.6254817563251791</v>
      </c>
      <c r="N173" s="122">
        <f t="shared" si="36"/>
        <v>404.31563865516955</v>
      </c>
    </row>
    <row r="174" spans="1:14" x14ac:dyDescent="0.25">
      <c r="A174" s="22">
        <f t="shared" si="28"/>
        <v>192</v>
      </c>
      <c r="B174" s="28">
        <f>IF(A174&gt;200,"",IF($C$1='Adj-Mixed'!$A$21,VLOOKUP(A174,'337'!$A$6:$AB$188,4,FALSE),IF($C$1='Adj-Mixed'!$A$20,VLOOKUP(A174,'337'!$A$6:$AB$188,13,FALSE),IF($C$1='Adj-Mixed'!$A$19,VLOOKUP(A174,'337'!$A$6:$AB$188,22,FALSE)))))</f>
        <v>142.82833444060705</v>
      </c>
      <c r="C174" s="26">
        <f t="shared" si="29"/>
        <v>845.46309936482089</v>
      </c>
      <c r="D174" s="27">
        <f t="shared" si="30"/>
        <v>0.2893082020735272</v>
      </c>
      <c r="E174" s="27">
        <f>IF(A174&gt;200,"",IF($C$1='Adj-Mixed'!$A$21,VLOOKUP(A174,'337'!$A$7:$AB$188,10,FALSE),IF($C$1='Adj-Mixed'!$A$20,VLOOKUP(A174,'337'!$A$7:$AB$188,19,FALSE),IF($C$1='Adj-Mixed'!$A$19,VLOOKUP(A174,'337'!$A$7:$AB$188,28,FALSE)))))</f>
        <v>3.4565214288181556</v>
      </c>
      <c r="F174" s="27">
        <f>IF(A174&gt;200,"",IF($C$1='Adj-Mixed'!$A$21,VLOOKUP(A174,'337'!$A$7:$AB$188,7,FALSE),IF($C$1='Adj-Mixed'!$A$20,VLOOKUP(A174,'337'!$A$7:$AB$188,16,FALSE),IF($C$1='Adj-Mixed'!$A$19,VLOOKUP(A174,'337'!$A$7:$AB$188,25,FALSE)))))</f>
        <v>2.9237329552375728</v>
      </c>
      <c r="G174" s="27">
        <f t="shared" si="32"/>
        <v>328.85376604259687</v>
      </c>
      <c r="H174" s="1"/>
      <c r="I174" s="136">
        <f t="shared" si="33"/>
        <v>156.90657301732395</v>
      </c>
      <c r="J174" s="26">
        <f>IF(A174&gt;200,"",(C174*'Adj-Mixed'!$C$6))</f>
        <v>932.02533831535402</v>
      </c>
      <c r="K174" s="27">
        <f>IF(A174&gt;200,"",D174*'Adj-Mixed'!$C$7)</f>
        <v>0.25685061589029617</v>
      </c>
      <c r="L174" s="1">
        <f t="shared" si="34"/>
        <v>3.8933136155184904</v>
      </c>
      <c r="M174" s="27">
        <f t="shared" si="35"/>
        <v>3.6286669396713953</v>
      </c>
      <c r="N174" s="122">
        <f t="shared" si="36"/>
        <v>407.94430559484096</v>
      </c>
    </row>
    <row r="175" spans="1:14" x14ac:dyDescent="0.25">
      <c r="A175" s="22">
        <f t="shared" si="28"/>
        <v>193</v>
      </c>
      <c r="B175" s="28">
        <f>IF(A175&gt;200,"",IF($C$1='Adj-Mixed'!$A$21,VLOOKUP(A175,'337'!$A$6:$AB$188,4,FALSE),IF($C$1='Adj-Mixed'!$A$20,VLOOKUP(A175,'337'!$A$6:$AB$188,13,FALSE),IF($C$1='Adj-Mixed'!$A$19,VLOOKUP(A175,'337'!$A$6:$AB$188,22,FALSE)))))</f>
        <v>143.67003278844965</v>
      </c>
      <c r="C175" s="26">
        <f t="shared" si="29"/>
        <v>841.69834784259479</v>
      </c>
      <c r="D175" s="27">
        <f t="shared" si="30"/>
        <v>0.28777258714629844</v>
      </c>
      <c r="E175" s="27">
        <f>IF(A175&gt;200,"",IF($C$1='Adj-Mixed'!$A$21,VLOOKUP(A175,'337'!$A$7:$AB$188,10,FALSE),IF($C$1='Adj-Mixed'!$A$20,VLOOKUP(A175,'337'!$A$7:$AB$188,19,FALSE),IF($C$1='Adj-Mixed'!$A$19,VLOOKUP(A175,'337'!$A$7:$AB$188,28,FALSE)))))</f>
        <v>3.4749661526711639</v>
      </c>
      <c r="F175" s="27">
        <f>IF(A175&gt;200,"",IF($C$1='Adj-Mixed'!$A$21,VLOOKUP(A175,'337'!$A$7:$AB$188,7,FALSE),IF($C$1='Adj-Mixed'!$A$20,VLOOKUP(A175,'337'!$A$7:$AB$188,16,FALSE),IF($C$1='Adj-Mixed'!$A$19,VLOOKUP(A175,'337'!$A$7:$AB$188,25,FALSE)))))</f>
        <v>2.9262104942849358</v>
      </c>
      <c r="G175" s="27">
        <f t="shared" si="32"/>
        <v>331.7799765368818</v>
      </c>
      <c r="H175" s="1"/>
      <c r="I175" s="136">
        <f t="shared" si="33"/>
        <v>157.83444815226105</v>
      </c>
      <c r="J175" s="26">
        <f>IF(A175&gt;200,"",(C175*'Adj-Mixed'!$C$6))</f>
        <v>927.87513493709639</v>
      </c>
      <c r="K175" s="27">
        <f>IF(A175&gt;200,"",D175*'Adj-Mixed'!$C$7)</f>
        <v>0.25548728212719468</v>
      </c>
      <c r="L175" s="1">
        <f t="shared" si="34"/>
        <v>3.9140891541605138</v>
      </c>
      <c r="M175" s="27">
        <f t="shared" si="35"/>
        <v>3.6317860020725123</v>
      </c>
      <c r="N175" s="122">
        <f t="shared" si="36"/>
        <v>411.57609159691344</v>
      </c>
    </row>
    <row r="176" spans="1:14" x14ac:dyDescent="0.25">
      <c r="A176" s="22">
        <f t="shared" si="28"/>
        <v>194</v>
      </c>
      <c r="B176" s="28">
        <f>IF(A176&gt;200,"",IF($C$1='Adj-Mixed'!$A$21,VLOOKUP(A176,'337'!$A$6:$AB$188,4,FALSE),IF($C$1='Adj-Mixed'!$A$20,VLOOKUP(A176,'337'!$A$6:$AB$188,13,FALSE),IF($C$1='Adj-Mixed'!$A$19,VLOOKUP(A176,'337'!$A$6:$AB$188,22,FALSE)))))</f>
        <v>144.50795084282055</v>
      </c>
      <c r="C176" s="26">
        <f t="shared" si="29"/>
        <v>837.91805437090261</v>
      </c>
      <c r="D176" s="27">
        <f t="shared" si="30"/>
        <v>0.28623936644533726</v>
      </c>
      <c r="E176" s="27">
        <f>IF(A176&gt;200,"",IF($C$1='Adj-Mixed'!$A$21,VLOOKUP(A176,'337'!$A$7:$AB$188,10,FALSE),IF($C$1='Adj-Mixed'!$A$20,VLOOKUP(A176,'337'!$A$7:$AB$188,19,FALSE),IF($C$1='Adj-Mixed'!$A$19,VLOOKUP(A176,'337'!$A$7:$AB$188,28,FALSE)))))</f>
        <v>3.4935795604165043</v>
      </c>
      <c r="F176" s="27">
        <f>IF(A176&gt;200,"",IF($C$1='Adj-Mixed'!$A$21,VLOOKUP(A176,'337'!$A$7:$AB$188,7,FALSE),IF($C$1='Adj-Mixed'!$A$20,VLOOKUP(A176,'337'!$A$7:$AB$188,16,FALSE),IF($C$1='Adj-Mixed'!$A$19,VLOOKUP(A176,'337'!$A$7:$AB$188,25,FALSE)))))</f>
        <v>2.9286366646213775</v>
      </c>
      <c r="G176" s="27">
        <f t="shared" si="32"/>
        <v>334.70861320150317</v>
      </c>
      <c r="H176" s="1"/>
      <c r="I176" s="136">
        <f t="shared" si="33"/>
        <v>158.75815595061712</v>
      </c>
      <c r="J176" s="26">
        <f>IF(A176&gt;200,"",(C176*'Adj-Mixed'!$C$6))</f>
        <v>923.70779835607675</v>
      </c>
      <c r="K176" s="27">
        <f>IF(A176&gt;200,"",D176*'Adj-Mixed'!$C$7)</f>
        <v>0.2541260739812965</v>
      </c>
      <c r="L176" s="1">
        <f t="shared" si="34"/>
        <v>3.9350546928671291</v>
      </c>
      <c r="M176" s="27">
        <f t="shared" si="35"/>
        <v>3.6348407067590434</v>
      </c>
      <c r="N176" s="122">
        <f t="shared" si="36"/>
        <v>415.21093230367251</v>
      </c>
    </row>
    <row r="177" spans="1:14" x14ac:dyDescent="0.25">
      <c r="A177" s="22">
        <f t="shared" si="28"/>
        <v>195</v>
      </c>
      <c r="B177" s="28">
        <f>IF(A177&gt;200,"",IF($C$1='Adj-Mixed'!$A$21,VLOOKUP(A177,'337'!$A$6:$AB$188,4,FALSE),IF($C$1='Adj-Mixed'!$A$20,VLOOKUP(A177,'337'!$A$6:$AB$188,13,FALSE),IF($C$1='Adj-Mixed'!$A$19,VLOOKUP(A177,'337'!$A$6:$AB$188,22,FALSE)))))</f>
        <v>145.34207399093793</v>
      </c>
      <c r="C177" s="26">
        <f t="shared" si="29"/>
        <v>834.12314811738497</v>
      </c>
      <c r="D177" s="27">
        <f t="shared" si="30"/>
        <v>0.28470863577638023</v>
      </c>
      <c r="E177" s="27">
        <f>IF(A177&gt;200,"",IF($C$1='Adj-Mixed'!$A$21,VLOOKUP(A177,'337'!$A$7:$AB$188,10,FALSE),IF($C$1='Adj-Mixed'!$A$20,VLOOKUP(A177,'337'!$A$7:$AB$188,19,FALSE),IF($C$1='Adj-Mixed'!$A$19,VLOOKUP(A177,'337'!$A$7:$AB$188,28,FALSE)))))</f>
        <v>3.5123627257496808</v>
      </c>
      <c r="F177" s="27">
        <f>IF(A177&gt;200,"",IF($C$1='Adj-Mixed'!$A$21,VLOOKUP(A177,'337'!$A$7:$AB$188,7,FALSE),IF($C$1='Adj-Mixed'!$A$20,VLOOKUP(A177,'337'!$A$7:$AB$188,16,FALSE),IF($C$1='Adj-Mixed'!$A$19,VLOOKUP(A177,'337'!$A$7:$AB$188,25,FALSE)))))</f>
        <v>2.931012813843382</v>
      </c>
      <c r="G177" s="27">
        <f t="shared" si="32"/>
        <v>337.63962601534655</v>
      </c>
      <c r="H177" s="1"/>
      <c r="I177" s="136">
        <f t="shared" si="33"/>
        <v>159.67768030348932</v>
      </c>
      <c r="J177" s="26">
        <f>IF(A177&gt;200,"",(C177*'Adj-Mixed'!$C$6))</f>
        <v>919.52435287221465</v>
      </c>
      <c r="K177" s="27">
        <f>IF(A177&gt;200,"",D177*'Adj-Mixed'!$C$7)</f>
        <v>0.25276707650985997</v>
      </c>
      <c r="L177" s="1">
        <f t="shared" si="34"/>
        <v>3.9562114410141223</v>
      </c>
      <c r="M177" s="27">
        <f t="shared" si="35"/>
        <v>3.6378327651241626</v>
      </c>
      <c r="N177" s="122">
        <f t="shared" si="36"/>
        <v>418.84876506879669</v>
      </c>
    </row>
    <row r="178" spans="1:14" x14ac:dyDescent="0.25">
      <c r="A178" s="22">
        <f t="shared" si="28"/>
        <v>196</v>
      </c>
      <c r="B178" s="28">
        <f>IF(A178&gt;200,"",IF($C$1='Adj-Mixed'!$A$21,VLOOKUP(A178,'337'!$A$6:$AB$188,4,FALSE),IF($C$1='Adj-Mixed'!$A$20,VLOOKUP(A178,'337'!$A$6:$AB$188,13,FALSE),IF($C$1='Adj-Mixed'!$A$19,VLOOKUP(A178,'337'!$A$6:$AB$188,22,FALSE)))))</f>
        <v>146.17238853102216</v>
      </c>
      <c r="C178" s="26">
        <f t="shared" si="29"/>
        <v>830.31454008423111</v>
      </c>
      <c r="D178" s="27">
        <f t="shared" si="30"/>
        <v>0.28318049148114766</v>
      </c>
      <c r="E178" s="27">
        <f>IF(A178&gt;200,"",IF($C$1='Adj-Mixed'!$A$21,VLOOKUP(A178,'337'!$A$7:$AB$188,10,FALSE),IF($C$1='Adj-Mixed'!$A$20,VLOOKUP(A178,'337'!$A$7:$AB$188,19,FALSE),IF($C$1='Adj-Mixed'!$A$19,VLOOKUP(A178,'337'!$A$7:$AB$188,28,FALSE)))))</f>
        <v>3.531316704655743</v>
      </c>
      <c r="F178" s="27">
        <f>IF(A178&gt;200,"",IF($C$1='Adj-Mixed'!$A$21,VLOOKUP(A178,'337'!$A$7:$AB$188,7,FALSE),IF($C$1='Adj-Mixed'!$A$20,VLOOKUP(A178,'337'!$A$7:$AB$188,16,FALSE),IF($C$1='Adj-Mixed'!$A$19,VLOOKUP(A178,'337'!$A$7:$AB$188,25,FALSE)))))</f>
        <v>2.9333402485904778</v>
      </c>
      <c r="G178" s="27">
        <f t="shared" si="32"/>
        <v>340.57296626393702</v>
      </c>
      <c r="H178" s="1"/>
      <c r="I178" s="136">
        <f t="shared" si="33"/>
        <v>160.59300610624945</v>
      </c>
      <c r="J178" s="26">
        <f>IF(A178&gt;200,"",(C178*'Adj-Mixed'!$C$6))</f>
        <v>915.32580276011913</v>
      </c>
      <c r="K178" s="27">
        <f>IF(A178&gt;200,"",D178*'Adj-Mixed'!$C$7)</f>
        <v>0.25141037524599474</v>
      </c>
      <c r="L178" s="1">
        <f t="shared" si="34"/>
        <v>3.9775605880287994</v>
      </c>
      <c r="M178" s="27">
        <f t="shared" si="35"/>
        <v>3.6407638382644723</v>
      </c>
      <c r="N178" s="122">
        <f t="shared" si="36"/>
        <v>422.48952890706119</v>
      </c>
    </row>
    <row r="179" spans="1:14" x14ac:dyDescent="0.25">
      <c r="A179" s="22">
        <f t="shared" si="28"/>
        <v>197</v>
      </c>
      <c r="B179" s="28">
        <f>IF(A179&gt;200,"",IF($C$1='Adj-Mixed'!$A$21,VLOOKUP(A179,'337'!$A$6:$AB$188,4,FALSE),IF($C$1='Adj-Mixed'!$A$20,VLOOKUP(A179,'337'!$A$6:$AB$188,13,FALSE),IF($C$1='Adj-Mixed'!$A$19,VLOOKUP(A179,'337'!$A$6:$AB$188,22,FALSE)))))</f>
        <v>146.99888165426847</v>
      </c>
      <c r="C179" s="26">
        <f t="shared" si="29"/>
        <v>826.49312324630841</v>
      </c>
      <c r="D179" s="27">
        <f t="shared" si="30"/>
        <v>0.28165503026526417</v>
      </c>
      <c r="E179" s="27">
        <f>IF(A179&gt;200,"",IF($C$1='Adj-Mixed'!$A$21,VLOOKUP(A179,'337'!$A$7:$AB$188,10,FALSE),IF($C$1='Adj-Mixed'!$A$20,VLOOKUP(A179,'337'!$A$7:$AB$188,19,FALSE),IF($C$1='Adj-Mixed'!$A$19,VLOOKUP(A179,'337'!$A$7:$AB$188,28,FALSE)))))</f>
        <v>3.5504425362408574</v>
      </c>
      <c r="F179" s="27">
        <f>IF(A179&gt;200,"",IF($C$1='Adj-Mixed'!$A$21,VLOOKUP(A179,'337'!$A$7:$AB$188,7,FALSE),IF($C$1='Adj-Mixed'!$A$20,VLOOKUP(A179,'337'!$A$7:$AB$188,16,FALSE),IF($C$1='Adj-Mixed'!$A$19,VLOOKUP(A179,'337'!$A$7:$AB$188,25,FALSE)))))</f>
        <v>2.9356202358319363</v>
      </c>
      <c r="G179" s="27">
        <f t="shared" si="32"/>
        <v>343.50858649976897</v>
      </c>
      <c r="H179" s="1"/>
      <c r="I179" s="136">
        <f t="shared" si="33"/>
        <v>161.5041192386708</v>
      </c>
      <c r="J179" s="26">
        <f>IF(A179&gt;200,"",(C179*'Adj-Mixed'!$C$6))</f>
        <v>911.11313242136077</v>
      </c>
      <c r="K179" s="27">
        <f>IF(A179&gt;200,"",D179*'Adj-Mixed'!$C$7)</f>
        <v>0.25005605604588838</v>
      </c>
      <c r="L179" s="1">
        <f t="shared" si="34"/>
        <v>3.9991033043266411</v>
      </c>
      <c r="M179" s="27">
        <f t="shared" si="35"/>
        <v>3.6436355384816608</v>
      </c>
      <c r="N179" s="122">
        <f t="shared" si="36"/>
        <v>426.13316444554283</v>
      </c>
    </row>
    <row r="180" spans="1:14" x14ac:dyDescent="0.25">
      <c r="A180" s="22">
        <f t="shared" si="28"/>
        <v>198</v>
      </c>
      <c r="B180" s="28">
        <f>IF(A180&gt;200,"",IF($C$1='Adj-Mixed'!$A$21,VLOOKUP(A180,'337'!$A$6:$AB$188,4,FALSE),IF($C$1='Adj-Mixed'!$A$20,VLOOKUP(A180,'337'!$A$6:$AB$188,13,FALSE),IF($C$1='Adj-Mixed'!$A$19,VLOOKUP(A180,'337'!$A$6:$AB$188,22,FALSE)))))</f>
        <v>147.82154142696339</v>
      </c>
      <c r="C180" s="26">
        <f t="shared" si="29"/>
        <v>822.65977269491941</v>
      </c>
      <c r="D180" s="27">
        <f t="shared" si="30"/>
        <v>0.28013234903512108</v>
      </c>
      <c r="E180" s="27">
        <f>IF(A180&gt;200,"",IF($C$1='Adj-Mixed'!$A$21,VLOOKUP(A180,'337'!$A$7:$AB$188,10,FALSE),IF($C$1='Adj-Mixed'!$A$20,VLOOKUP(A180,'337'!$A$7:$AB$188,19,FALSE),IF($C$1='Adj-Mixed'!$A$19,VLOOKUP(A180,'337'!$A$7:$AB$188,28,FALSE)))))</f>
        <v>3.5697412435385205</v>
      </c>
      <c r="F180" s="27">
        <f>IF(A180&gt;200,"",IF($C$1='Adj-Mixed'!$A$21,VLOOKUP(A180,'337'!$A$7:$AB$188,7,FALSE),IF($C$1='Adj-Mixed'!$A$20,VLOOKUP(A180,'337'!$A$7:$AB$188,16,FALSE),IF($C$1='Adj-Mixed'!$A$19,VLOOKUP(A180,'337'!$A$7:$AB$188,25,FALSE)))))</f>
        <v>2.937854004119556</v>
      </c>
      <c r="G180" s="27">
        <f t="shared" si="32"/>
        <v>346.44644050388854</v>
      </c>
      <c r="H180" s="1"/>
      <c r="I180" s="136">
        <f t="shared" si="33"/>
        <v>162.41100654521375</v>
      </c>
      <c r="J180" s="26">
        <f>IF(A180&gt;200,"",(C180*'Adj-Mixed'!$C$6))</f>
        <v>906.88730654294716</v>
      </c>
      <c r="K180" s="27">
        <f>IF(A180&gt;200,"",D180*'Adj-Mixed'!$C$7)</f>
        <v>0.24870420494397094</v>
      </c>
      <c r="L180" s="1">
        <f t="shared" si="34"/>
        <v>4.0208407422193924</v>
      </c>
      <c r="M180" s="27">
        <f t="shared" si="35"/>
        <v>3.646449430749489</v>
      </c>
      <c r="N180" s="122">
        <f t="shared" si="36"/>
        <v>429.77961387629233</v>
      </c>
    </row>
    <row r="181" spans="1:14" x14ac:dyDescent="0.25">
      <c r="A181" s="22">
        <f t="shared" si="28"/>
        <v>199</v>
      </c>
      <c r="B181" s="28">
        <f>IF(A181&gt;200,"",IF($C$1='Adj-Mixed'!$A$21,VLOOKUP(A181,'337'!$A$6:$AB$188,4,FALSE),IF($C$1='Adj-Mixed'!$A$20,VLOOKUP(A181,'337'!$A$6:$AB$188,13,FALSE),IF($C$1='Adj-Mixed'!$A$19,VLOOKUP(A181,'337'!$A$6:$AB$188,22,FALSE)))))</f>
        <v>148.64035677275086</v>
      </c>
      <c r="C181" s="26">
        <f t="shared" si="29"/>
        <v>818.81534578747051</v>
      </c>
      <c r="D181" s="27">
        <f t="shared" si="30"/>
        <v>0.27861254474408714</v>
      </c>
      <c r="E181" s="27">
        <f>IF(A181&gt;200,"",IF($C$1='Adj-Mixed'!$A$21,VLOOKUP(A181,'337'!$A$7:$AB$188,10,FALSE),IF($C$1='Adj-Mixed'!$A$20,VLOOKUP(A181,'337'!$A$7:$AB$188,19,FALSE),IF($C$1='Adj-Mixed'!$A$19,VLOOKUP(A181,'337'!$A$7:$AB$188,28,FALSE)))))</f>
        <v>3.5892138342820346</v>
      </c>
      <c r="F181" s="27">
        <f>IF(A181&gt;200,"",IF($C$1='Adj-Mixed'!$A$21,VLOOKUP(A181,'337'!$A$7:$AB$188,7,FALSE),IF($C$1='Adj-Mixed'!$A$20,VLOOKUP(A181,'337'!$A$7:$AB$188,16,FALSE),IF($C$1='Adj-Mixed'!$A$19,VLOOKUP(A181,'337'!$A$7:$AB$188,25,FALSE)))))</f>
        <v>2.9400427448066608</v>
      </c>
      <c r="G181" s="27">
        <f t="shared" si="32"/>
        <v>349.38648324869519</v>
      </c>
      <c r="H181" s="1"/>
      <c r="I181" s="136">
        <f t="shared" si="33"/>
        <v>163.31365581547607</v>
      </c>
      <c r="J181" s="26">
        <f>IF(A181&gt;200,"",(C181*'Adj-Mixed'!$C$6))</f>
        <v>902.6492702623151</v>
      </c>
      <c r="K181" s="27">
        <f>IF(A181&gt;200,"",D181*'Adj-Mixed'!$C$7)</f>
        <v>0.2473549080163796</v>
      </c>
      <c r="L181" s="1">
        <f t="shared" si="34"/>
        <v>4.0427740367851559</v>
      </c>
      <c r="M181" s="27">
        <f t="shared" si="35"/>
        <v>3.6492070341395553</v>
      </c>
      <c r="N181" s="122">
        <f t="shared" si="36"/>
        <v>433.42882091043191</v>
      </c>
    </row>
    <row r="182" spans="1:14" x14ac:dyDescent="0.25">
      <c r="A182" s="22">
        <f t="shared" si="28"/>
        <v>200</v>
      </c>
      <c r="B182" s="28">
        <f>IF(A182&gt;200,"",IF($C$1='Adj-Mixed'!$A$21,VLOOKUP(A182,'337'!$A$6:$AB$188,4,FALSE),IF($C$1='Adj-Mixed'!$A$20,VLOOKUP(A182,'337'!$A$6:$AB$188,13,FALSE),IF($C$1='Adj-Mixed'!$A$19,VLOOKUP(A182,'337'!$A$6:$AB$188,22,FALSE)))))</f>
        <v>149.4553174550536</v>
      </c>
      <c r="C182" s="26">
        <f t="shared" si="29"/>
        <v>814.96068230273977</v>
      </c>
      <c r="D182" s="27">
        <f t="shared" si="30"/>
        <v>0.27709571424712121</v>
      </c>
      <c r="E182" s="27">
        <f>IF(A182&gt;200,"",IF($C$1='Adj-Mixed'!$A$21,VLOOKUP(A182,'337'!$A$7:$AB$188,10,FALSE),IF($C$1='Adj-Mixed'!$A$20,VLOOKUP(A182,'337'!$A$7:$AB$188,19,FALSE),IF($C$1='Adj-Mixed'!$A$19,VLOOKUP(A182,'337'!$A$7:$AB$188,28,FALSE)))))</f>
        <v>3.6088613016517965</v>
      </c>
      <c r="F182" s="27">
        <f>IF(A182&gt;200,"",IF($C$1='Adj-Mixed'!$A$21,VLOOKUP(A182,'337'!$A$7:$AB$188,7,FALSE),IF($C$1='Adj-Mixed'!$A$20,VLOOKUP(A182,'337'!$A$7:$AB$188,16,FALSE),IF($C$1='Adj-Mixed'!$A$19,VLOOKUP(A182,'337'!$A$7:$AB$188,25,FALSE)))))</f>
        <v>2.9421876132335534</v>
      </c>
      <c r="G182" s="27">
        <f t="shared" si="32"/>
        <v>352.32867086192874</v>
      </c>
      <c r="H182" s="1"/>
      <c r="I182" s="136">
        <f t="shared" si="33"/>
        <v>164.21205576481455</v>
      </c>
      <c r="J182" s="26">
        <f>IF(A182&gt;200,"",(C182*'Adj-Mixed'!$C$6))</f>
        <v>898.39994933849584</v>
      </c>
      <c r="K182" s="27">
        <f>IF(A182&gt;200,"",D182*'Adj-Mixed'!$C$7)</f>
        <v>0.24600825125188225</v>
      </c>
      <c r="L182" s="1">
        <f t="shared" si="34"/>
        <v>4.0649043067101145</v>
      </c>
      <c r="M182" s="27">
        <f t="shared" si="35"/>
        <v>3.6519098232142002</v>
      </c>
      <c r="N182" s="122">
        <f t="shared" si="36"/>
        <v>437.08073073364613</v>
      </c>
    </row>
    <row r="183" spans="1:14" x14ac:dyDescent="0.25">
      <c r="A183" s="22">
        <f t="shared" si="28"/>
        <v>201</v>
      </c>
      <c r="B183" s="28" t="str">
        <f>IF(A183&gt;200,"",IF($C$1='Adj-Mixed'!$A$21,VLOOKUP(A183,'337'!$A$6:$AB$188,4,FALSE),IF($C$1='Adj-Mixed'!$A$20,VLOOKUP(A183,'337'!$A$6:$AB$188,13,FALSE),IF($C$1='Adj-Mixed'!$A$19,VLOOKUP(A183,'337'!$A$6:$AB$188,22,FALSE)))))</f>
        <v/>
      </c>
      <c r="C183" s="26" t="str">
        <f t="shared" si="29"/>
        <v/>
      </c>
      <c r="D183" s="27" t="str">
        <f t="shared" si="30"/>
        <v/>
      </c>
      <c r="E183" s="27" t="str">
        <f>IF(A183&gt;200,"",IF($C$1='Adj-Mixed'!$A$21,VLOOKUP(A183,'337'!$A$7:$AB$188,10,FALSE),IF($C$1='Adj-Mixed'!$A$20,VLOOKUP(A183,'337'!$A$7:$AB$188,19,FALSE),IF($C$1='Adj-Mixed'!$A$19,VLOOKUP(A183,'337'!$A$7:$AB$188,28,FALSE)))))</f>
        <v/>
      </c>
      <c r="F183" s="27" t="str">
        <f>IF(A183&gt;200,"",IF($C$1='Adj-Mixed'!$A$21,VLOOKUP(A183,'337'!$A$7:$AB$188,7,FALSE),IF($C$1='Adj-Mixed'!$A$20,VLOOKUP(A183,'337'!$A$7:$AB$188,16,FALSE),IF($C$1='Adj-Mixed'!$A$19,VLOOKUP(A183,'337'!$A$7:$AB$188,25,FALSE)))))</f>
        <v/>
      </c>
      <c r="G183" s="27" t="str">
        <f t="shared" si="32"/>
        <v/>
      </c>
      <c r="H183" s="1"/>
      <c r="I183" s="136" t="str">
        <f t="shared" si="33"/>
        <v/>
      </c>
      <c r="J183" s="26" t="str">
        <f>IF(A183&gt;200,"",(C183*'Adj-Mixed'!$C$6))</f>
        <v/>
      </c>
      <c r="K183" s="27" t="str">
        <f>IF(A183&gt;200,"",D183*'Adj-Mixed'!$C$7)</f>
        <v/>
      </c>
      <c r="L183" s="1" t="str">
        <f t="shared" si="34"/>
        <v/>
      </c>
      <c r="M183" s="27" t="str">
        <f t="shared" si="35"/>
        <v/>
      </c>
      <c r="N183" s="122" t="str">
        <f t="shared" si="36"/>
        <v/>
      </c>
    </row>
    <row r="184" spans="1:14" x14ac:dyDescent="0.25">
      <c r="A184" s="22">
        <f t="shared" si="28"/>
        <v>202</v>
      </c>
      <c r="B184" s="28" t="str">
        <f>IF(A184&gt;200,"",IF($C$1='Adj-Mixed'!$A$21,VLOOKUP(A184,'337'!$A$6:$AB$188,4,FALSE),IF($C$1='Adj-Mixed'!$A$20,VLOOKUP(A184,'337'!$A$6:$AB$188,13,FALSE),IF($C$1='Adj-Mixed'!$A$19,VLOOKUP(A184,'337'!$A$6:$AB$188,22,FALSE)))))</f>
        <v/>
      </c>
      <c r="C184" s="26" t="str">
        <f t="shared" si="29"/>
        <v/>
      </c>
      <c r="D184" s="27" t="str">
        <f t="shared" si="30"/>
        <v/>
      </c>
      <c r="E184" s="27" t="str">
        <f>IF(A184&gt;200,"",IF($C$1='Adj-Mixed'!$A$21,VLOOKUP(A184,'337'!$A$7:$AB$188,10,FALSE),IF($C$1='Adj-Mixed'!$A$20,VLOOKUP(A184,'337'!$A$7:$AB$188,19,FALSE),IF($C$1='Adj-Mixed'!$A$19,VLOOKUP(A184,'337'!$A$7:$AB$188,28,FALSE)))))</f>
        <v/>
      </c>
      <c r="F184" s="27" t="str">
        <f>IF(A184&gt;200,"",IF($C$1='Adj-Mixed'!$A$21,VLOOKUP(A184,'337'!$A$7:$AB$188,7,FALSE),IF($C$1='Adj-Mixed'!$A$20,VLOOKUP(A184,'337'!$A$7:$AB$188,16,FALSE),IF($C$1='Adj-Mixed'!$A$19,VLOOKUP(A184,'337'!$A$7:$AB$188,25,FALSE)))))</f>
        <v/>
      </c>
      <c r="G184" s="27" t="str">
        <f t="shared" si="32"/>
        <v/>
      </c>
      <c r="H184" s="1"/>
      <c r="I184" s="136" t="str">
        <f t="shared" si="33"/>
        <v/>
      </c>
      <c r="J184" s="26" t="str">
        <f>IF(A184&gt;200,"",(C184*'Adj-Mixed'!$C$6))</f>
        <v/>
      </c>
      <c r="K184" s="27" t="str">
        <f>IF(A184&gt;200,"",D184*'Adj-Mixed'!$C$7)</f>
        <v/>
      </c>
      <c r="L184" s="1" t="str">
        <f t="shared" si="34"/>
        <v/>
      </c>
      <c r="M184" s="27" t="str">
        <f t="shared" si="35"/>
        <v/>
      </c>
      <c r="N184" s="122" t="str">
        <f t="shared" si="36"/>
        <v/>
      </c>
    </row>
    <row r="185" spans="1:14" x14ac:dyDescent="0.25">
      <c r="A185" s="22">
        <f t="shared" si="28"/>
        <v>203</v>
      </c>
      <c r="B185" s="28" t="str">
        <f>IF(A185&gt;200,"",IF($C$1='Adj-Mixed'!$A$21,VLOOKUP(A185,'337'!$A$6:$AB$188,4,FALSE),IF($C$1='Adj-Mixed'!$A$20,VLOOKUP(A185,'337'!$A$6:$AB$188,13,FALSE),IF($C$1='Adj-Mixed'!$A$19,VLOOKUP(A185,'337'!$A$6:$AB$188,22,FALSE)))))</f>
        <v/>
      </c>
      <c r="C185" s="26" t="str">
        <f t="shared" si="29"/>
        <v/>
      </c>
      <c r="D185" s="27" t="str">
        <f t="shared" si="30"/>
        <v/>
      </c>
      <c r="E185" s="27" t="str">
        <f>IF(A185&gt;200,"",IF($C$1='Adj-Mixed'!$A$21,VLOOKUP(A185,'337'!$A$7:$AB$188,10,FALSE),IF($C$1='Adj-Mixed'!$A$20,VLOOKUP(A185,'337'!$A$7:$AB$188,19,FALSE),IF($C$1='Adj-Mixed'!$A$19,VLOOKUP(A185,'337'!$A$7:$AB$188,28,FALSE)))))</f>
        <v/>
      </c>
      <c r="F185" s="27" t="str">
        <f>IF(A185&gt;200,"",IF($C$1='Adj-Mixed'!$A$21,VLOOKUP(A185,'337'!$A$7:$AB$188,7,FALSE),IF($C$1='Adj-Mixed'!$A$20,VLOOKUP(A185,'337'!$A$7:$AB$188,16,FALSE),IF($C$1='Adj-Mixed'!$A$19,VLOOKUP(A185,'337'!$A$7:$AB$188,25,FALSE)))))</f>
        <v/>
      </c>
      <c r="G185" s="27" t="str">
        <f t="shared" si="32"/>
        <v/>
      </c>
      <c r="H185" s="1"/>
      <c r="I185" s="136" t="str">
        <f t="shared" si="33"/>
        <v/>
      </c>
      <c r="J185" s="26" t="str">
        <f>IF(A185&gt;200,"",(C185*'Adj-Mixed'!$C$6))</f>
        <v/>
      </c>
      <c r="K185" s="27" t="str">
        <f>IF(A185&gt;200,"",D185*'Adj-Mixed'!$C$7)</f>
        <v/>
      </c>
      <c r="L185" s="1" t="str">
        <f t="shared" si="34"/>
        <v/>
      </c>
      <c r="M185" s="27" t="str">
        <f t="shared" si="35"/>
        <v/>
      </c>
      <c r="N185" s="122" t="str">
        <f t="shared" si="36"/>
        <v/>
      </c>
    </row>
    <row r="186" spans="1:14" x14ac:dyDescent="0.25">
      <c r="I186" s="137"/>
    </row>
    <row r="187" spans="1:14" x14ac:dyDescent="0.25">
      <c r="I187" s="137"/>
    </row>
    <row r="188" spans="1:14" x14ac:dyDescent="0.25">
      <c r="I188" s="137"/>
    </row>
    <row r="189" spans="1:14" x14ac:dyDescent="0.25">
      <c r="I189" s="137"/>
    </row>
    <row r="190" spans="1:14" x14ac:dyDescent="0.25">
      <c r="I190" s="137"/>
    </row>
    <row r="191" spans="1:14" x14ac:dyDescent="0.25">
      <c r="I191" s="137"/>
    </row>
    <row r="192" spans="1:14" x14ac:dyDescent="0.25">
      <c r="I192" s="137"/>
    </row>
    <row r="193" spans="9:9" x14ac:dyDescent="0.25">
      <c r="I193" s="137"/>
    </row>
    <row r="194" spans="9:9" x14ac:dyDescent="0.25">
      <c r="I194" s="137"/>
    </row>
    <row r="195" spans="9:9" x14ac:dyDescent="0.25">
      <c r="I195" s="137"/>
    </row>
    <row r="196" spans="9:9" x14ac:dyDescent="0.25">
      <c r="I196" s="137"/>
    </row>
    <row r="197" spans="9:9" x14ac:dyDescent="0.25">
      <c r="I197" s="137"/>
    </row>
    <row r="198" spans="9:9" x14ac:dyDescent="0.25">
      <c r="I198" s="137"/>
    </row>
    <row r="199" spans="9:9" x14ac:dyDescent="0.25">
      <c r="I199" s="137"/>
    </row>
    <row r="200" spans="9:9" x14ac:dyDescent="0.25">
      <c r="I200" s="137"/>
    </row>
    <row r="201" spans="9:9" x14ac:dyDescent="0.25">
      <c r="I201" s="137"/>
    </row>
    <row r="202" spans="9:9" x14ac:dyDescent="0.25">
      <c r="I202" s="137"/>
    </row>
    <row r="203" spans="9:9" x14ac:dyDescent="0.25">
      <c r="I203" s="137"/>
    </row>
    <row r="204" spans="9:9" x14ac:dyDescent="0.25">
      <c r="I204" s="137"/>
    </row>
    <row r="205" spans="9:9" x14ac:dyDescent="0.25">
      <c r="I205" s="137"/>
    </row>
    <row r="206" spans="9:9" x14ac:dyDescent="0.25">
      <c r="I206" s="137"/>
    </row>
    <row r="207" spans="9:9" x14ac:dyDescent="0.25">
      <c r="I207" s="137"/>
    </row>
    <row r="208" spans="9:9" x14ac:dyDescent="0.25">
      <c r="I208" s="137"/>
    </row>
    <row r="209" spans="9:9" x14ac:dyDescent="0.25">
      <c r="I209" s="137"/>
    </row>
    <row r="210" spans="9:9" x14ac:dyDescent="0.25">
      <c r="I210" s="137"/>
    </row>
    <row r="211" spans="9:9" x14ac:dyDescent="0.25">
      <c r="I211" s="137"/>
    </row>
    <row r="212" spans="9:9" x14ac:dyDescent="0.25">
      <c r="I212" s="137"/>
    </row>
    <row r="213" spans="9:9" x14ac:dyDescent="0.25">
      <c r="I213" s="137"/>
    </row>
  </sheetData>
  <mergeCells count="2">
    <mergeCell ref="C1:G1"/>
    <mergeCell ref="J1:N1"/>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5211B-06FF-46E4-9148-6831B890C4C7}">
  <sheetPr codeName="Sheet13"/>
  <dimension ref="A1:P193"/>
  <sheetViews>
    <sheetView topLeftCell="A4" zoomScale="110" zoomScaleNormal="110" workbookViewId="0">
      <selection activeCell="C44" sqref="C44"/>
    </sheetView>
  </sheetViews>
  <sheetFormatPr defaultRowHeight="15" x14ac:dyDescent="0.25"/>
  <cols>
    <col min="1" max="1" width="6.5703125" bestFit="1" customWidth="1"/>
    <col min="2" max="2" width="15.5703125" bestFit="1" customWidth="1"/>
    <col min="3" max="3" width="12.5703125" bestFit="1" customWidth="1"/>
    <col min="4" max="5" width="7.5703125" bestFit="1" customWidth="1"/>
    <col min="6" max="6" width="8.7109375" bestFit="1" customWidth="1"/>
    <col min="7" max="7" width="17.85546875" bestFit="1" customWidth="1"/>
    <col min="9" max="9" width="15.42578125" bestFit="1" customWidth="1"/>
    <col min="10" max="10" width="12.42578125" bestFit="1" customWidth="1"/>
    <col min="11" max="12" width="7.42578125" bestFit="1" customWidth="1"/>
    <col min="13" max="13" width="8.7109375" bestFit="1" customWidth="1"/>
    <col min="14" max="14" width="17.85546875" bestFit="1" customWidth="1"/>
    <col min="16" max="16" width="16.85546875" bestFit="1" customWidth="1"/>
  </cols>
  <sheetData>
    <row r="1" spans="1:16" x14ac:dyDescent="0.25">
      <c r="A1" s="132">
        <v>337</v>
      </c>
      <c r="B1" s="132" t="s">
        <v>32</v>
      </c>
      <c r="C1" s="239" t="str">
        <f>'Adj-Mixed'!A17</f>
        <v>High energy diet</v>
      </c>
      <c r="D1" s="239"/>
      <c r="E1" s="239"/>
      <c r="F1" s="239"/>
      <c r="G1" s="239"/>
      <c r="I1" s="120" t="str">
        <f>B1</f>
        <v>Barrows</v>
      </c>
      <c r="J1" s="240" t="s">
        <v>84</v>
      </c>
      <c r="K1" s="241"/>
      <c r="L1" s="241"/>
      <c r="M1" s="241"/>
      <c r="N1" s="242"/>
    </row>
    <row r="2" spans="1:16" ht="15" customHeight="1" x14ac:dyDescent="0.25">
      <c r="A2" s="133" t="s">
        <v>13</v>
      </c>
      <c r="B2" s="133" t="s">
        <v>83</v>
      </c>
      <c r="C2" s="132" t="s">
        <v>15</v>
      </c>
      <c r="D2" s="132" t="s">
        <v>79</v>
      </c>
      <c r="E2" s="132" t="s">
        <v>80</v>
      </c>
      <c r="F2" s="132" t="s">
        <v>81</v>
      </c>
      <c r="G2" s="132" t="s">
        <v>82</v>
      </c>
      <c r="I2" s="134" t="str">
        <f>B2</f>
        <v>Body Weight, kg</v>
      </c>
      <c r="J2" s="120" t="str">
        <f>C2</f>
        <v>Est. ADG, g/d</v>
      </c>
      <c r="K2" s="120" t="str">
        <f t="shared" ref="K2:N2" si="0">D2</f>
        <v>Est. G:F</v>
      </c>
      <c r="L2" s="120" t="str">
        <f t="shared" si="0"/>
        <v>Est. F:G</v>
      </c>
      <c r="M2" s="120" t="str">
        <f t="shared" si="0"/>
        <v>Est. ADFI</v>
      </c>
      <c r="N2" s="120" t="str">
        <f t="shared" si="0"/>
        <v>Ac. Feed intake, kg</v>
      </c>
    </row>
    <row r="3" spans="1:16" ht="15" customHeight="1" x14ac:dyDescent="0.25">
      <c r="A3" s="121">
        <f>'I-Mixed'!$C$5</f>
        <v>21</v>
      </c>
      <c r="B3" s="28">
        <f>IF(A3&gt;200,"",IF($C$1='Adj-Mixed'!$A$21,VLOOKUP(A3,'337'!$A$6:$AB$188,2,FALSE),IF($C$1='Adj-Mixed'!$A$20,VLOOKUP(A3,'337'!$A$6:$AB$188,11,FALSE),IF($C$1='Adj-Mixed'!$A$19,VLOOKUP(A3,'337'!$A$6:$AB$188,20,FALSE)))))</f>
        <v>5.9087078991238675</v>
      </c>
      <c r="C3" s="26"/>
      <c r="D3" s="23"/>
      <c r="E3" s="27"/>
      <c r="F3" s="27"/>
      <c r="G3" s="24"/>
      <c r="I3" s="136">
        <f>IF(A3&gt;200,"",'E-Mixed'!I3*'Adj-Barrows'!B12)</f>
        <v>5.9425449780322959</v>
      </c>
      <c r="J3" s="104"/>
      <c r="K3" s="23"/>
      <c r="L3" s="23"/>
      <c r="M3" s="24"/>
      <c r="N3" s="24"/>
    </row>
    <row r="4" spans="1:16" ht="15" customHeight="1" x14ac:dyDescent="0.25">
      <c r="A4" s="121">
        <f>A3+1</f>
        <v>22</v>
      </c>
      <c r="B4" s="28">
        <f>IF(A4&gt;200,"",IF($C$1='Adj-Mixed'!$A$21,VLOOKUP(A4,'337'!$A$6:$AB$188,2,FALSE),IF($C$1='Adj-Mixed'!$A$20,VLOOKUP(A4,'337'!$A$6:$AB$188,11,FALSE),IF($C$1='Adj-Mixed'!$A$19,VLOOKUP(A4,'337'!$A$6:$AB$188,20,FALSE)))))</f>
        <v>5.9891330030800756</v>
      </c>
      <c r="C4" s="26">
        <f>IF(A4&gt;200,"",(B4-B3)*1000)</f>
        <v>80.425103956208062</v>
      </c>
      <c r="D4" s="27">
        <f>IF(A4&gt;200,"",1/E4)</f>
        <v>1.0033408808412787</v>
      </c>
      <c r="E4" s="27">
        <f>IF(A4&gt;200,"",IF($C$1='Adj-Mixed'!$A$21,VLOOKUP(A4,'337'!$A$7:$AB$188,8,FALSE),IF($C$1='Adj-Mixed'!$A$20,VLOOKUP(A4,'337'!$A$7:$AB$188,17,FALSE),IF($C$1='Adj-Mixed'!$A$19,VLOOKUP(A4,'337'!$A$7:$AB$188,26,FALSE)))))</f>
        <v>0.9966702434784902</v>
      </c>
      <c r="F4" s="27">
        <f t="shared" ref="F4:F40" si="1">IF(A4&gt;200,"",(E4*C4)/1000)</f>
        <v>8.0157307941816774E-2</v>
      </c>
      <c r="G4" s="28">
        <f>IF(A4&gt;200,"",F4)</f>
        <v>8.0157307941816774E-2</v>
      </c>
      <c r="I4" s="136">
        <f>IF(A4&gt;200,"",I3+(J4/1000))</f>
        <v>6.0312043586488446</v>
      </c>
      <c r="J4" s="26">
        <f>IF(A4&gt;200,"",C4*'Adj-Barrows'!$C$6)</f>
        <v>88.659380616548404</v>
      </c>
      <c r="K4" s="27">
        <f>IF(A4&gt;200,"",D4*'Adj-Barrows'!$C$7)</f>
        <v>0.89077572410649619</v>
      </c>
      <c r="L4" s="1">
        <f t="shared" ref="L4:L67" si="2">IF(A4&gt;200,"",1/K4)</f>
        <v>1.1226170324781388</v>
      </c>
      <c r="M4" s="27">
        <f t="shared" ref="M4:M67" si="3">IF(A4&gt;200,"",(J4/1000)/K4)</f>
        <v>9.9530530769099387E-2</v>
      </c>
      <c r="N4" s="31">
        <f>IF(A4&gt;200,"",M4)</f>
        <v>9.9530530769099387E-2</v>
      </c>
      <c r="P4" s="145"/>
    </row>
    <row r="5" spans="1:16" ht="15" customHeight="1" x14ac:dyDescent="0.25">
      <c r="A5" s="121">
        <f>A4+1</f>
        <v>23</v>
      </c>
      <c r="B5" s="28">
        <f>IF(A5&gt;200,"",IF($C$1='Adj-Mixed'!$A$21,VLOOKUP(A5,'337'!$A$6:$AB$188,2,FALSE),IF($C$1='Adj-Mixed'!$A$20,VLOOKUP(A5,'337'!$A$6:$AB$188,11,FALSE),IF($C$1='Adj-Mixed'!$A$19,VLOOKUP(A5,'337'!$A$6:$AB$188,20,FALSE)))))</f>
        <v>6.0930835001842407</v>
      </c>
      <c r="C5" s="26">
        <f t="shared" ref="C5:C68" si="4">IF(A5&gt;200,"",(B5-B4)*1000)</f>
        <v>103.95049710416515</v>
      </c>
      <c r="D5" s="27">
        <f t="shared" ref="D5:D68" si="5">IF(A5&gt;200,"",1/E5)</f>
        <v>0.99369337237166022</v>
      </c>
      <c r="E5" s="27">
        <f>IF(A5&gt;200,"",IF($C$1='Adj-Mixed'!$A$21,VLOOKUP(A5,'337'!$A$7:$AB$188,8,FALSE),IF($C$1='Adj-Mixed'!$A$20,VLOOKUP(A5,'337'!$A$7:$AB$188,17,FALSE),IF($C$1='Adj-Mixed'!$A$19,VLOOKUP(A5,'337'!$A$7:$AB$188,26,FALSE)))))</f>
        <v>1.0063466536093399</v>
      </c>
      <c r="F5" s="27">
        <f t="shared" si="1"/>
        <v>0.10461023490180398</v>
      </c>
      <c r="G5" s="28">
        <f>IF(A5&gt;200,"",F5+G4)</f>
        <v>0.18476754284362074</v>
      </c>
      <c r="I5" s="136">
        <f t="shared" ref="I5:I68" si="6">IF(A5&gt;200,"",I4+(J5/1000))</f>
        <v>6.1457977658647787</v>
      </c>
      <c r="J5" s="26">
        <f>IF(A5&gt;200,"",C5*'Adj-Barrows'!$C$6)</f>
        <v>114.59340721593419</v>
      </c>
      <c r="K5" s="27">
        <f>IF(A5&gt;200,"",D5*'Adj-Barrows'!$C$7)</f>
        <v>0.88221057291317262</v>
      </c>
      <c r="L5" s="1">
        <f t="shared" si="2"/>
        <v>1.1335162269682073</v>
      </c>
      <c r="M5" s="27">
        <f t="shared" si="3"/>
        <v>0.12989348658283709</v>
      </c>
      <c r="N5" s="31">
        <f>IF(A5&gt;200,"",N4+M5)</f>
        <v>0.22942401735193646</v>
      </c>
    </row>
    <row r="6" spans="1:16" ht="15" customHeight="1" x14ac:dyDescent="0.25">
      <c r="A6" s="121">
        <f t="shared" ref="A6:A26" si="7">A5+1</f>
        <v>24</v>
      </c>
      <c r="B6" s="28">
        <f>IF(A6&gt;200,"",IF($C$1='Adj-Mixed'!$A$21,VLOOKUP(A6,'337'!$A$6:$AB$188,2,FALSE),IF($C$1='Adj-Mixed'!$A$20,VLOOKUP(A6,'337'!$A$6:$AB$188,11,FALSE),IF($C$1='Adj-Mixed'!$A$19,VLOOKUP(A6,'337'!$A$6:$AB$188,20,FALSE)))))</f>
        <v>6.2199992620280762</v>
      </c>
      <c r="C6" s="26">
        <f t="shared" si="4"/>
        <v>126.91576184383547</v>
      </c>
      <c r="D6" s="27">
        <f t="shared" si="5"/>
        <v>0.98422962596811137</v>
      </c>
      <c r="E6" s="27">
        <f>IF(A6&gt;200,"",IF($C$1='Adj-Mixed'!$A$21,VLOOKUP(A6,'337'!$A$7:$AB$188,8,FALSE),IF($C$1='Adj-Mixed'!$A$20,VLOOKUP(A6,'337'!$A$7:$AB$188,17,FALSE),IF($C$1='Adj-Mixed'!$A$19,VLOOKUP(A6,'337'!$A$7:$AB$188,26,FALSE)))))</f>
        <v>1.0160230637402086</v>
      </c>
      <c r="F6" s="27">
        <f t="shared" si="1"/>
        <v>0.12894934118549636</v>
      </c>
      <c r="G6" s="28">
        <f t="shared" ref="G6:G69" si="8">IF(A6&gt;200,"",F6+G5)</f>
        <v>0.31371688402911713</v>
      </c>
      <c r="I6" s="136">
        <f t="shared" si="6"/>
        <v>6.2857077228563014</v>
      </c>
      <c r="J6" s="26">
        <f>IF(A6&gt;200,"",C6*'Adj-Barrows'!$C$6)</f>
        <v>139.90995699152279</v>
      </c>
      <c r="K6" s="27">
        <f>IF(A6&gt;200,"",D6*'Adj-Barrows'!$C$7)</f>
        <v>0.87380856745684854</v>
      </c>
      <c r="L6" s="1">
        <f t="shared" si="2"/>
        <v>1.1444154214582969</v>
      </c>
      <c r="M6" s="27">
        <f t="shared" si="3"/>
        <v>0.16011511239666573</v>
      </c>
      <c r="N6" s="31">
        <f t="shared" ref="N6:N69" si="9">IF(A6&gt;200,"",N5+M6)</f>
        <v>0.38953912974860216</v>
      </c>
    </row>
    <row r="7" spans="1:16" ht="15" customHeight="1" x14ac:dyDescent="0.25">
      <c r="A7" s="121">
        <f t="shared" si="7"/>
        <v>25</v>
      </c>
      <c r="B7" s="28">
        <f>IF(A7&gt;200,"",IF($C$1='Adj-Mixed'!$A$21,VLOOKUP(A7,'337'!$A$6:$AB$188,2,FALSE),IF($C$1='Adj-Mixed'!$A$20,VLOOKUP(A7,'337'!$A$6:$AB$188,11,FALSE),IF($C$1='Adj-Mixed'!$A$19,VLOOKUP(A7,'337'!$A$6:$AB$188,20,FALSE)))))</f>
        <v>6.3693201602032996</v>
      </c>
      <c r="C7" s="26">
        <f t="shared" si="4"/>
        <v>149.32089817522342</v>
      </c>
      <c r="D7" s="27">
        <f t="shared" si="5"/>
        <v>0.97494444081747833</v>
      </c>
      <c r="E7" s="27">
        <f>IF(A7&gt;200,"",IF($C$1='Adj-Mixed'!$A$21,VLOOKUP(A7,'337'!$A$7:$AB$188,8,FALSE),IF($C$1='Adj-Mixed'!$A$20,VLOOKUP(A7,'337'!$A$7:$AB$188,17,FALSE),IF($C$1='Adj-Mixed'!$A$19,VLOOKUP(A7,'337'!$A$7:$AB$188,26,FALSE)))))</f>
        <v>1.0256994738710576</v>
      </c>
      <c r="F7" s="27">
        <f t="shared" si="1"/>
        <v>0.15315836669628044</v>
      </c>
      <c r="G7" s="28">
        <f t="shared" si="8"/>
        <v>0.46687525072539759</v>
      </c>
      <c r="I7" s="136">
        <f t="shared" si="6"/>
        <v>6.4503167527996208</v>
      </c>
      <c r="J7" s="26">
        <f>IF(A7&gt;200,"",C7*'Adj-Barrows'!$C$6)</f>
        <v>164.60902994331906</v>
      </c>
      <c r="K7" s="27">
        <f>IF(A7&gt;200,"",D7*'Adj-Barrows'!$C$7)</f>
        <v>0.86556509040537732</v>
      </c>
      <c r="L7" s="1">
        <f t="shared" si="2"/>
        <v>1.1553146159483647</v>
      </c>
      <c r="M7" s="27">
        <f t="shared" si="3"/>
        <v>0.19017521821059849</v>
      </c>
      <c r="N7" s="31">
        <f t="shared" si="9"/>
        <v>0.57971434795920063</v>
      </c>
    </row>
    <row r="8" spans="1:16" ht="15" customHeight="1" x14ac:dyDescent="0.25">
      <c r="A8" s="121">
        <f t="shared" si="7"/>
        <v>26</v>
      </c>
      <c r="B8" s="28">
        <f>IF(A8&gt;200,"",IF($C$1='Adj-Mixed'!$A$21,VLOOKUP(A8,'337'!$A$6:$AB$188,2,FALSE),IF($C$1='Adj-Mixed'!$A$20,VLOOKUP(A8,'337'!$A$6:$AB$188,11,FALSE),IF($C$1='Adj-Mixed'!$A$19,VLOOKUP(A8,'337'!$A$6:$AB$188,20,FALSE)))))</f>
        <v>6.5404860663016251</v>
      </c>
      <c r="C8" s="26">
        <f t="shared" si="4"/>
        <v>171.16590609832548</v>
      </c>
      <c r="D8" s="27">
        <f t="shared" si="5"/>
        <v>0.95688991413566415</v>
      </c>
      <c r="E8" s="27">
        <f>IF(A8&gt;200,"",IF($C$1='Adj-Mixed'!$A$21,VLOOKUP(A8,'337'!$A$7:$AB$188,8,FALSE),IF($C$1='Adj-Mixed'!$A$20,VLOOKUP(A8,'337'!$A$7:$AB$188,17,FALSE),IF($C$1='Adj-Mixed'!$A$19,VLOOKUP(A8,'337'!$A$7:$AB$188,26,FALSE)))))</f>
        <v>1.0450522941327856</v>
      </c>
      <c r="F8" s="27">
        <f t="shared" si="1"/>
        <v>0.178877322845372</v>
      </c>
      <c r="G8" s="28">
        <f t="shared" si="8"/>
        <v>0.64575257357076965</v>
      </c>
      <c r="I8" s="136">
        <f t="shared" si="6"/>
        <v>6.6390073788709403</v>
      </c>
      <c r="J8" s="26">
        <f>IF(A8&gt;200,"",C8*'Adj-Barrows'!$C$6)</f>
        <v>188.69062607131909</v>
      </c>
      <c r="K8" s="27">
        <f>IF(A8&gt;200,"",D8*'Adj-Barrows'!$C$7)</f>
        <v>0.84953610724971418</v>
      </c>
      <c r="L8" s="1">
        <f t="shared" si="2"/>
        <v>1.1771130049285334</v>
      </c>
      <c r="M8" s="27">
        <f t="shared" si="3"/>
        <v>0.2221101898566567</v>
      </c>
      <c r="N8" s="31">
        <f t="shared" si="9"/>
        <v>0.80182453781585727</v>
      </c>
    </row>
    <row r="9" spans="1:16" ht="15" customHeight="1" x14ac:dyDescent="0.25">
      <c r="A9" s="121">
        <f t="shared" si="7"/>
        <v>27</v>
      </c>
      <c r="B9" s="28">
        <f>IF(A9&gt;200,"",IF($C$1='Adj-Mixed'!$A$21,VLOOKUP(A9,'337'!$A$6:$AB$188,2,FALSE),IF($C$1='Adj-Mixed'!$A$20,VLOOKUP(A9,'337'!$A$6:$AB$188,11,FALSE),IF($C$1='Adj-Mixed'!$A$19,VLOOKUP(A9,'337'!$A$6:$AB$188,20,FALSE)))))</f>
        <v>6.7329368519147685</v>
      </c>
      <c r="C9" s="26">
        <f t="shared" si="4"/>
        <v>192.45078561314344</v>
      </c>
      <c r="D9" s="27">
        <f t="shared" si="5"/>
        <v>0.94444487340448513</v>
      </c>
      <c r="E9" s="27">
        <f>IF(A9&gt;200,"",IF($C$1='Adj-Mixed'!$A$21,VLOOKUP(A9,'337'!$A$7:$AB$188,8,FALSE),IF($C$1='Adj-Mixed'!$A$20,VLOOKUP(A9,'337'!$A$7:$AB$188,17,FALSE),IF($C$1='Adj-Mixed'!$A$19,VLOOKUP(A9,'337'!$A$7:$AB$188,26,FALSE)))))</f>
        <v>1.0588230485017645</v>
      </c>
      <c r="F9" s="27">
        <f t="shared" si="1"/>
        <v>0.20377132750946805</v>
      </c>
      <c r="G9" s="28">
        <f t="shared" si="8"/>
        <v>0.84952390108023768</v>
      </c>
      <c r="I9" s="136">
        <f t="shared" si="6"/>
        <v>6.8511621242464651</v>
      </c>
      <c r="J9" s="26">
        <f>IF(A9&gt;200,"",C9*'Adj-Barrows'!$C$6)</f>
        <v>212.1547453755249</v>
      </c>
      <c r="K9" s="27">
        <f>IF(A9&gt;200,"",D9*'Adj-Barrows'!$C$7)</f>
        <v>0.8384872798964863</v>
      </c>
      <c r="L9" s="1">
        <f t="shared" si="2"/>
        <v>1.1926239359569688</v>
      </c>
      <c r="M9" s="27">
        <f t="shared" si="3"/>
        <v>0.25302082746170701</v>
      </c>
      <c r="N9" s="31">
        <f t="shared" si="9"/>
        <v>1.0548453652775642</v>
      </c>
    </row>
    <row r="10" spans="1:16" ht="15" customHeight="1" x14ac:dyDescent="0.25">
      <c r="A10" s="121">
        <f t="shared" si="7"/>
        <v>28</v>
      </c>
      <c r="B10" s="28">
        <f>IF(A10&gt;200,"",IF($C$1='Adj-Mixed'!$A$21,VLOOKUP(A10,'337'!$A$6:$AB$188,2,FALSE),IF($C$1='Adj-Mixed'!$A$20,VLOOKUP(A10,'337'!$A$6:$AB$188,11,FALSE),IF($C$1='Adj-Mixed'!$A$19,VLOOKUP(A10,'337'!$A$6:$AB$188,20,FALSE)))))</f>
        <v>6.946112388634444</v>
      </c>
      <c r="C10" s="26">
        <f t="shared" si="4"/>
        <v>213.17553671967548</v>
      </c>
      <c r="D10" s="27">
        <f t="shared" si="5"/>
        <v>0.93225997440604125</v>
      </c>
      <c r="E10" s="27">
        <f>IF(A10&gt;200,"",IF($C$1='Adj-Mixed'!$A$21,VLOOKUP(A10,'337'!$A$7:$AB$188,8,FALSE),IF($C$1='Adj-Mixed'!$A$20,VLOOKUP(A10,'337'!$A$7:$AB$188,17,FALSE),IF($C$1='Adj-Mixed'!$A$19,VLOOKUP(A10,'337'!$A$7:$AB$188,26,FALSE)))))</f>
        <v>1.0726621623298984</v>
      </c>
      <c r="F10" s="27">
        <f t="shared" si="1"/>
        <v>0.22866533217356377</v>
      </c>
      <c r="G10" s="28">
        <f t="shared" si="8"/>
        <v>1.0781892332538014</v>
      </c>
      <c r="I10" s="136">
        <f t="shared" si="6"/>
        <v>7.0861635121023996</v>
      </c>
      <c r="J10" s="26">
        <f>IF(A10&gt;200,"",C10*'Adj-Barrows'!$C$6)</f>
        <v>235.00138785593444</v>
      </c>
      <c r="K10" s="27">
        <f>IF(A10&gt;200,"",D10*'Adj-Barrows'!$C$7)</f>
        <v>0.82766940888598539</v>
      </c>
      <c r="L10" s="1">
        <f t="shared" si="2"/>
        <v>1.2082118648627664</v>
      </c>
      <c r="M10" s="27">
        <f t="shared" si="3"/>
        <v>0.28393146506675682</v>
      </c>
      <c r="N10" s="31">
        <f t="shared" si="9"/>
        <v>1.338776830344321</v>
      </c>
    </row>
    <row r="11" spans="1:16" ht="15" customHeight="1" x14ac:dyDescent="0.25">
      <c r="A11" s="121">
        <f t="shared" si="7"/>
        <v>29</v>
      </c>
      <c r="B11" s="28">
        <f>IF(A11&gt;200,"",IF($C$1='Adj-Mixed'!$A$21,VLOOKUP(A11,'337'!$A$6:$AB$188,2,FALSE),IF($C$1='Adj-Mixed'!$A$20,VLOOKUP(A11,'337'!$A$6:$AB$188,11,FALSE),IF($C$1='Adj-Mixed'!$A$19,VLOOKUP(A11,'337'!$A$6:$AB$188,20,FALSE)))))</f>
        <v>7.1794525480523692</v>
      </c>
      <c r="C11" s="26">
        <f t="shared" si="4"/>
        <v>233.34015941792518</v>
      </c>
      <c r="D11" s="27">
        <f t="shared" si="5"/>
        <v>0.92025859638258212</v>
      </c>
      <c r="E11" s="27">
        <f>IF(A11&gt;200,"",IF($C$1='Adj-Mixed'!$A$21,VLOOKUP(A11,'337'!$A$7:$AB$188,8,FALSE),IF($C$1='Adj-Mixed'!$A$20,VLOOKUP(A11,'337'!$A$7:$AB$188,17,FALSE),IF($C$1='Adj-Mixed'!$A$19,VLOOKUP(A11,'337'!$A$7:$AB$188,26,FALSE)))))</f>
        <v>1.0866510825662168</v>
      </c>
      <c r="F11" s="27">
        <f t="shared" si="1"/>
        <v>0.25355933683766196</v>
      </c>
      <c r="G11" s="28">
        <f t="shared" si="8"/>
        <v>1.3317485700914635</v>
      </c>
      <c r="I11" s="136">
        <f t="shared" si="6"/>
        <v>7.3433940656149517</v>
      </c>
      <c r="J11" s="26">
        <f>IF(A11&gt;200,"",C11*'Adj-Barrows'!$C$6)</f>
        <v>257.23055351255169</v>
      </c>
      <c r="K11" s="27">
        <f>IF(A11&gt;200,"",D11*'Adj-Barrows'!$C$7)</f>
        <v>0.8170144695694902</v>
      </c>
      <c r="L11" s="1">
        <f t="shared" si="2"/>
        <v>1.2239685308473551</v>
      </c>
      <c r="M11" s="27">
        <f t="shared" si="3"/>
        <v>0.31484210267180984</v>
      </c>
      <c r="N11" s="31">
        <f t="shared" si="9"/>
        <v>1.6536189330161308</v>
      </c>
    </row>
    <row r="12" spans="1:16" ht="15" customHeight="1" x14ac:dyDescent="0.25">
      <c r="A12" s="121">
        <f t="shared" si="7"/>
        <v>30</v>
      </c>
      <c r="B12" s="28">
        <f>IF(A12&gt;200,"",IF($C$1='Adj-Mixed'!$A$21,VLOOKUP(A12,'337'!$A$6:$AB$188,2,FALSE),IF($C$1='Adj-Mixed'!$A$20,VLOOKUP(A12,'337'!$A$6:$AB$188,11,FALSE),IF($C$1='Adj-Mixed'!$A$19,VLOOKUP(A12,'337'!$A$6:$AB$188,20,FALSE)))))</f>
        <v>7.4323972017602573</v>
      </c>
      <c r="C12" s="26">
        <f t="shared" si="4"/>
        <v>252.94465370788811</v>
      </c>
      <c r="D12" s="27">
        <f t="shared" si="5"/>
        <v>0.90839151846303523</v>
      </c>
      <c r="E12" s="27">
        <f>IF(A12&gt;200,"",IF($C$1='Adj-Mixed'!$A$21,VLOOKUP(A12,'337'!$A$7:$AB$188,8,FALSE),IF($C$1='Adj-Mixed'!$A$20,VLOOKUP(A12,'337'!$A$7:$AB$188,17,FALSE),IF($C$1='Adj-Mixed'!$A$19,VLOOKUP(A12,'337'!$A$7:$AB$188,26,FALSE)))))</f>
        <v>1.1008469142159791</v>
      </c>
      <c r="F12" s="27">
        <f t="shared" si="1"/>
        <v>0.2784533415017581</v>
      </c>
      <c r="G12" s="28">
        <f t="shared" si="8"/>
        <v>1.6102019115932216</v>
      </c>
      <c r="I12" s="136">
        <f t="shared" si="6"/>
        <v>7.622236307960323</v>
      </c>
      <c r="J12" s="26">
        <f>IF(A12&gt;200,"",C12*'Adj-Barrows'!$C$6)</f>
        <v>278.84224234537174</v>
      </c>
      <c r="K12" s="27">
        <f>IF(A12&gt;200,"",D12*'Adj-Barrows'!$C$7)</f>
        <v>0.80647876318229594</v>
      </c>
      <c r="L12" s="1">
        <f t="shared" si="2"/>
        <v>1.2399582551362989</v>
      </c>
      <c r="M12" s="27">
        <f t="shared" si="3"/>
        <v>0.34575274027686009</v>
      </c>
      <c r="N12" s="31">
        <f t="shared" si="9"/>
        <v>1.9993716732929909</v>
      </c>
    </row>
    <row r="13" spans="1:16" ht="15" customHeight="1" x14ac:dyDescent="0.25">
      <c r="A13" s="121">
        <f t="shared" si="7"/>
        <v>31</v>
      </c>
      <c r="B13" s="28">
        <f>IF(A13&gt;200,"",IF($C$1='Adj-Mixed'!$A$21,VLOOKUP(A13,'337'!$A$6:$AB$188,2,FALSE),IF($C$1='Adj-Mixed'!$A$20,VLOOKUP(A13,'337'!$A$6:$AB$188,11,FALSE),IF($C$1='Adj-Mixed'!$A$19,VLOOKUP(A13,'337'!$A$6:$AB$188,20,FALSE)))))</f>
        <v>7.7043862213498242</v>
      </c>
      <c r="C13" s="26">
        <f t="shared" si="4"/>
        <v>271.98901958956691</v>
      </c>
      <c r="D13" s="27">
        <f t="shared" si="5"/>
        <v>0.89662567689271067</v>
      </c>
      <c r="E13" s="27">
        <f>IF(A13&gt;200,"",IF($C$1='Adj-Mixed'!$A$21,VLOOKUP(A13,'337'!$A$7:$AB$188,8,FALSE),IF($C$1='Adj-Mixed'!$A$20,VLOOKUP(A13,'337'!$A$7:$AB$188,17,FALSE),IF($C$1='Adj-Mixed'!$A$19,VLOOKUP(A13,'337'!$A$7:$AB$188,26,FALSE)))))</f>
        <v>1.1152926196197468</v>
      </c>
      <c r="F13" s="27">
        <f t="shared" si="1"/>
        <v>0.30334734616585474</v>
      </c>
      <c r="G13" s="28">
        <f t="shared" si="8"/>
        <v>1.9135492577590762</v>
      </c>
      <c r="I13" s="136">
        <f t="shared" si="6"/>
        <v>7.9220727623147207</v>
      </c>
      <c r="J13" s="26">
        <f>IF(A13&gt;200,"",C13*'Adj-Barrows'!$C$6)</f>
        <v>299.83645435439746</v>
      </c>
      <c r="K13" s="27">
        <f>IF(A13&gt;200,"",D13*'Adj-Barrows'!$C$7)</f>
        <v>0.79603293540366471</v>
      </c>
      <c r="L13" s="1">
        <f t="shared" si="2"/>
        <v>1.2562294291164027</v>
      </c>
      <c r="M13" s="27">
        <f t="shared" si="3"/>
        <v>0.37666337788191112</v>
      </c>
      <c r="N13" s="31">
        <f t="shared" si="9"/>
        <v>2.376035051174902</v>
      </c>
    </row>
    <row r="14" spans="1:16" ht="15" customHeight="1" x14ac:dyDescent="0.25">
      <c r="A14" s="121">
        <f t="shared" si="7"/>
        <v>32</v>
      </c>
      <c r="B14" s="28">
        <f>IF(A14&gt;200,"",IF($C$1='Adj-Mixed'!$A$21,VLOOKUP(A14,'337'!$A$6:$AB$188,2,FALSE),IF($C$1='Adj-Mixed'!$A$20,VLOOKUP(A14,'337'!$A$6:$AB$188,11,FALSE),IF($C$1='Adj-Mixed'!$A$19,VLOOKUP(A14,'337'!$A$6:$AB$188,20,FALSE)))))</f>
        <v>7.9948594784127867</v>
      </c>
      <c r="C14" s="26">
        <f t="shared" si="4"/>
        <v>290.47325706296243</v>
      </c>
      <c r="D14" s="27">
        <f t="shared" si="5"/>
        <v>0.88493803821031825</v>
      </c>
      <c r="E14" s="27">
        <f>IF(A14&gt;200,"",IF($C$1='Adj-Mixed'!$A$21,VLOOKUP(A14,'337'!$A$7:$AB$188,8,FALSE),IF($C$1='Adj-Mixed'!$A$20,VLOOKUP(A14,'337'!$A$7:$AB$188,17,FALSE),IF($C$1='Adj-Mixed'!$A$19,VLOOKUP(A14,'337'!$A$7:$AB$188,26,FALSE)))))</f>
        <v>1.1300226194620144</v>
      </c>
      <c r="F14" s="27">
        <f t="shared" si="1"/>
        <v>0.32824135082995187</v>
      </c>
      <c r="G14" s="28">
        <f t="shared" si="8"/>
        <v>2.241790608589028</v>
      </c>
      <c r="I14" s="136">
        <f t="shared" si="6"/>
        <v>8.2422859518543508</v>
      </c>
      <c r="J14" s="26">
        <f>IF(A14&gt;200,"",C14*'Adj-Barrows'!$C$6)</f>
        <v>320.21318953962992</v>
      </c>
      <c r="K14" s="27">
        <f>IF(A14&gt;200,"",D14*'Adj-Barrows'!$C$7)</f>
        <v>0.78565653690420978</v>
      </c>
      <c r="L14" s="1">
        <f t="shared" si="2"/>
        <v>1.2728208231301508</v>
      </c>
      <c r="M14" s="27">
        <f t="shared" si="3"/>
        <v>0.40757401548696276</v>
      </c>
      <c r="N14" s="31">
        <f t="shared" si="9"/>
        <v>2.7836090666618647</v>
      </c>
    </row>
    <row r="15" spans="1:16" ht="15" customHeight="1" x14ac:dyDescent="0.25">
      <c r="A15" s="121">
        <f t="shared" si="7"/>
        <v>33</v>
      </c>
      <c r="B15" s="28">
        <f>IF(A15&gt;200,"",IF($C$1='Adj-Mixed'!$A$21,VLOOKUP(A15,'337'!$A$6:$AB$188,2,FALSE),IF($C$1='Adj-Mixed'!$A$20,VLOOKUP(A15,'337'!$A$6:$AB$188,11,FALSE),IF($C$1='Adj-Mixed'!$A$19,VLOOKUP(A15,'337'!$A$6:$AB$188,20,FALSE)))))</f>
        <v>8.3032568445408579</v>
      </c>
      <c r="C15" s="26">
        <f t="shared" si="4"/>
        <v>308.39736612807121</v>
      </c>
      <c r="D15" s="27">
        <f t="shared" si="5"/>
        <v>0.87331206385895088</v>
      </c>
      <c r="E15" s="27">
        <f>IF(A15&gt;200,"",IF($C$1='Adj-Mixed'!$A$21,VLOOKUP(A15,'337'!$A$7:$AB$188,8,FALSE),IF($C$1='Adj-Mixed'!$A$20,VLOOKUP(A15,'337'!$A$7:$AB$188,17,FALSE),IF($C$1='Adj-Mixed'!$A$19,VLOOKUP(A15,'337'!$A$7:$AB$188,26,FALSE)))))</f>
        <v>1.1450660552898426</v>
      </c>
      <c r="F15" s="27">
        <f t="shared" si="1"/>
        <v>0.35313535549404784</v>
      </c>
      <c r="G15" s="28">
        <f t="shared" si="8"/>
        <v>2.594925964083076</v>
      </c>
      <c r="I15" s="136">
        <f t="shared" si="6"/>
        <v>8.5822583997554158</v>
      </c>
      <c r="J15" s="26">
        <f>IF(A15&gt;200,"",C15*'Adj-Barrows'!$C$6)</f>
        <v>339.97244790106521</v>
      </c>
      <c r="K15" s="27">
        <f>IF(A15&gt;200,"",D15*'Adj-Barrows'!$C$7)</f>
        <v>0.77533488459338251</v>
      </c>
      <c r="L15" s="1">
        <f t="shared" si="2"/>
        <v>1.289765261270865</v>
      </c>
      <c r="M15" s="27">
        <f t="shared" si="3"/>
        <v>0.43848465309201295</v>
      </c>
      <c r="N15" s="31">
        <f t="shared" si="9"/>
        <v>3.2220937197538775</v>
      </c>
    </row>
    <row r="16" spans="1:16" ht="15" customHeight="1" x14ac:dyDescent="0.25">
      <c r="A16" s="121">
        <f t="shared" si="7"/>
        <v>34</v>
      </c>
      <c r="B16" s="28">
        <f>IF(A16&gt;200,"",IF($C$1='Adj-Mixed'!$A$21,VLOOKUP(A16,'337'!$A$6:$AB$188,2,FALSE),IF($C$1='Adj-Mixed'!$A$20,VLOOKUP(A16,'337'!$A$6:$AB$188,11,FALSE),IF($C$1='Adj-Mixed'!$A$19,VLOOKUP(A16,'337'!$A$6:$AB$188,20,FALSE)))))</f>
        <v>8.6290181913257555</v>
      </c>
      <c r="C16" s="26">
        <f t="shared" si="4"/>
        <v>325.76134678489768</v>
      </c>
      <c r="D16" s="27">
        <f t="shared" si="5"/>
        <v>0.86173557167257375</v>
      </c>
      <c r="E16" s="27">
        <f>IF(A16&gt;200,"",IF($C$1='Adj-Mixed'!$A$21,VLOOKUP(A16,'337'!$A$7:$AB$188,8,FALSE),IF($C$1='Adj-Mixed'!$A$20,VLOOKUP(A16,'337'!$A$7:$AB$188,17,FALSE),IF($C$1='Adj-Mixed'!$A$19,VLOOKUP(A16,'337'!$A$7:$AB$188,26,FALSE)))))</f>
        <v>1.1604487883203705</v>
      </c>
      <c r="F16" s="27">
        <f t="shared" si="1"/>
        <v>0.37802936015814653</v>
      </c>
      <c r="G16" s="28">
        <f t="shared" si="8"/>
        <v>2.9729553242412226</v>
      </c>
      <c r="I16" s="136">
        <f t="shared" si="6"/>
        <v>8.9413726291941238</v>
      </c>
      <c r="J16" s="26">
        <f>IF(A16&gt;200,"",C16*'Adj-Barrows'!$C$6)</f>
        <v>359.11422943870821</v>
      </c>
      <c r="K16" s="27">
        <f>IF(A16&gt;200,"",D16*'Adj-Barrows'!$C$7)</f>
        <v>0.76505716302652393</v>
      </c>
      <c r="L16" s="1">
        <f t="shared" si="2"/>
        <v>1.3070918727746501</v>
      </c>
      <c r="M16" s="27">
        <f t="shared" si="3"/>
        <v>0.46939529069706648</v>
      </c>
      <c r="N16" s="31">
        <f t="shared" si="9"/>
        <v>3.6914890104509439</v>
      </c>
    </row>
    <row r="17" spans="1:14" ht="15" customHeight="1" x14ac:dyDescent="0.25">
      <c r="A17" s="121">
        <f t="shared" si="7"/>
        <v>35</v>
      </c>
      <c r="B17" s="28">
        <f>IF(A17&gt;200,"",IF($C$1='Adj-Mixed'!$A$21,VLOOKUP(A17,'337'!$A$6:$AB$188,2,FALSE),IF($C$1='Adj-Mixed'!$A$20,VLOOKUP(A17,'337'!$A$6:$AB$188,11,FALSE),IF($C$1='Adj-Mixed'!$A$19,VLOOKUP(A17,'337'!$A$6:$AB$188,20,FALSE)))))</f>
        <v>8.9715833903591911</v>
      </c>
      <c r="C17" s="26">
        <f t="shared" si="4"/>
        <v>342.56519903343553</v>
      </c>
      <c r="D17" s="27">
        <f t="shared" si="5"/>
        <v>0.85019939011123702</v>
      </c>
      <c r="E17" s="27">
        <f>IF(A17&gt;200,"",IF($C$1='Adj-Mixed'!$A$21,VLOOKUP(A17,'337'!$A$7:$AB$188,8,FALSE),IF($C$1='Adj-Mixed'!$A$20,VLOOKUP(A17,'337'!$A$7:$AB$188,17,FALSE),IF($C$1='Adj-Mixed'!$A$19,VLOOKUP(A17,'337'!$A$7:$AB$188,26,FALSE)))))</f>
        <v>1.1761946804844963</v>
      </c>
      <c r="F17" s="27">
        <f t="shared" si="1"/>
        <v>0.40292336482223962</v>
      </c>
      <c r="G17" s="28">
        <f t="shared" si="8"/>
        <v>3.375878689063462</v>
      </c>
      <c r="I17" s="136">
        <f t="shared" si="6"/>
        <v>9.3190111633466763</v>
      </c>
      <c r="J17" s="26">
        <f>IF(A17&gt;200,"",C17*'Adj-Barrows'!$C$6)</f>
        <v>377.63853415255193</v>
      </c>
      <c r="K17" s="27">
        <f>IF(A17&gt;200,"",D17*'Adj-Barrows'!$C$7)</f>
        <v>0.75481522962188941</v>
      </c>
      <c r="L17" s="1">
        <f t="shared" si="2"/>
        <v>1.3248275349464416</v>
      </c>
      <c r="M17" s="27">
        <f t="shared" si="3"/>
        <v>0.50030592830211296</v>
      </c>
      <c r="N17" s="31">
        <f t="shared" si="9"/>
        <v>4.1917949387530573</v>
      </c>
    </row>
    <row r="18" spans="1:14" ht="15" customHeight="1" x14ac:dyDescent="0.25">
      <c r="A18" s="121">
        <f t="shared" si="7"/>
        <v>36</v>
      </c>
      <c r="B18" s="28">
        <f>IF(A18&gt;200,"",IF($C$1='Adj-Mixed'!$A$21,VLOOKUP(A18,'337'!$A$6:$AB$188,2,FALSE),IF($C$1='Adj-Mixed'!$A$20,VLOOKUP(A18,'337'!$A$6:$AB$188,11,FALSE),IF($C$1='Adj-Mixed'!$A$19,VLOOKUP(A18,'337'!$A$6:$AB$188,20,FALSE)))))</f>
        <v>9.330392313232883</v>
      </c>
      <c r="C18" s="26">
        <f t="shared" si="4"/>
        <v>358.80892287369193</v>
      </c>
      <c r="D18" s="27">
        <f t="shared" si="5"/>
        <v>0.83869648234361571</v>
      </c>
      <c r="E18" s="27">
        <f>IF(A18&gt;200,"",IF($C$1='Adj-Mixed'!$A$21,VLOOKUP(A18,'337'!$A$7:$AB$188,8,FALSE),IF($C$1='Adj-Mixed'!$A$20,VLOOKUP(A18,'337'!$A$7:$AB$188,17,FALSE),IF($C$1='Adj-Mixed'!$A$19,VLOOKUP(A18,'337'!$A$7:$AB$188,26,FALSE)))))</f>
        <v>1.1923264506912501</v>
      </c>
      <c r="F18" s="27">
        <f t="shared" si="1"/>
        <v>0.42781736948633958</v>
      </c>
      <c r="G18" s="28">
        <f t="shared" si="8"/>
        <v>3.8036960585498014</v>
      </c>
      <c r="I18" s="136">
        <f t="shared" si="6"/>
        <v>9.7145565253892805</v>
      </c>
      <c r="J18" s="26">
        <f>IF(A18&gt;200,"",C18*'Adj-Barrows'!$C$6)</f>
        <v>395.54536204260438</v>
      </c>
      <c r="K18" s="27">
        <f>IF(A18&gt;200,"",D18*'Adj-Barrows'!$C$7)</f>
        <v>0.74460283701266805</v>
      </c>
      <c r="L18" s="1">
        <f t="shared" si="2"/>
        <v>1.34299783762842</v>
      </c>
      <c r="M18" s="27">
        <f t="shared" si="3"/>
        <v>0.53121656590716815</v>
      </c>
      <c r="N18" s="31">
        <f t="shared" si="9"/>
        <v>4.7230115046602252</v>
      </c>
    </row>
    <row r="19" spans="1:14" ht="15" customHeight="1" x14ac:dyDescent="0.25">
      <c r="A19" s="121">
        <f t="shared" si="7"/>
        <v>37</v>
      </c>
      <c r="B19" s="28">
        <f>IF(A19&gt;200,"",IF($C$1='Adj-Mixed'!$A$21,VLOOKUP(A19,'337'!$A$6:$AB$188,2,FALSE),IF($C$1='Adj-Mixed'!$A$20,VLOOKUP(A19,'337'!$A$6:$AB$188,11,FALSE),IF($C$1='Adj-Mixed'!$A$19,VLOOKUP(A19,'337'!$A$6:$AB$188,20,FALSE)))))</f>
        <v>9.7048848315385463</v>
      </c>
      <c r="C19" s="26">
        <f t="shared" si="4"/>
        <v>374.49251830566334</v>
      </c>
      <c r="D19" s="27">
        <f t="shared" si="5"/>
        <v>0.82722135932290353</v>
      </c>
      <c r="E19" s="27">
        <f>IF(A19&gt;200,"",IF($C$1='Adj-Mixed'!$A$21,VLOOKUP(A19,'337'!$A$7:$AB$188,8,FALSE),IF($C$1='Adj-Mixed'!$A$20,VLOOKUP(A19,'337'!$A$7:$AB$188,17,FALSE),IF($C$1='Adj-Mixed'!$A$19,VLOOKUP(A19,'337'!$A$7:$AB$188,26,FALSE)))))</f>
        <v>1.2088662710770901</v>
      </c>
      <c r="F19" s="27">
        <f t="shared" si="1"/>
        <v>0.45271137415043616</v>
      </c>
      <c r="G19" s="28">
        <f t="shared" si="8"/>
        <v>4.2564074327002377</v>
      </c>
      <c r="I19" s="136">
        <f t="shared" si="6"/>
        <v>10.127391238498141</v>
      </c>
      <c r="J19" s="26">
        <f>IF(A19&gt;200,"",C19*'Adj-Barrows'!$C$6)</f>
        <v>412.83471310886159</v>
      </c>
      <c r="K19" s="27">
        <f>IF(A19&gt;200,"",D19*'Adj-Barrows'!$C$7)</f>
        <v>0.73441511197009302</v>
      </c>
      <c r="L19" s="1">
        <f t="shared" si="2"/>
        <v>1.3616277547958766</v>
      </c>
      <c r="M19" s="27">
        <f t="shared" si="3"/>
        <v>0.56212720351221901</v>
      </c>
      <c r="N19" s="31">
        <f t="shared" si="9"/>
        <v>5.2851387081724441</v>
      </c>
    </row>
    <row r="20" spans="1:14" ht="15" customHeight="1" x14ac:dyDescent="0.25">
      <c r="A20" s="121">
        <f t="shared" si="7"/>
        <v>38</v>
      </c>
      <c r="B20" s="28">
        <f>IF(A20&gt;200,"",IF($C$1='Adj-Mixed'!$A$21,VLOOKUP(A20,'337'!$A$6:$AB$188,2,FALSE),IF($C$1='Adj-Mixed'!$A$20,VLOOKUP(A20,'337'!$A$6:$AB$188,11,FALSE),IF($C$1='Adj-Mixed'!$A$19,VLOOKUP(A20,'337'!$A$6:$AB$188,20,FALSE)))))</f>
        <v>10.094500816867896</v>
      </c>
      <c r="C20" s="26">
        <f t="shared" si="4"/>
        <v>389.61598532934971</v>
      </c>
      <c r="D20" s="27">
        <f t="shared" si="5"/>
        <v>0.81576967641448939</v>
      </c>
      <c r="E20" s="27">
        <f>IF(A20&gt;200,"",IF($C$1='Adj-Mixed'!$A$21,VLOOKUP(A20,'337'!$A$7:$AB$188,8,FALSE),IF($C$1='Adj-Mixed'!$A$20,VLOOKUP(A20,'337'!$A$7:$AB$188,17,FALSE),IF($C$1='Adj-Mixed'!$A$19,VLOOKUP(A20,'337'!$A$7:$AB$188,26,FALSE)))))</f>
        <v>1.2258361997411436</v>
      </c>
      <c r="F20" s="27">
        <f t="shared" si="1"/>
        <v>0.47760537881453119</v>
      </c>
      <c r="G20" s="28">
        <f t="shared" si="8"/>
        <v>4.734012811514769</v>
      </c>
      <c r="I20" s="136">
        <f t="shared" si="6"/>
        <v>10.556897825849465</v>
      </c>
      <c r="J20" s="26">
        <f>IF(A20&gt;200,"",C20*'Adj-Barrows'!$C$6)</f>
        <v>429.50658735132356</v>
      </c>
      <c r="K20" s="27">
        <f>IF(A20&gt;200,"",D20*'Adj-Barrows'!$C$7)</f>
        <v>0.72424819728559675</v>
      </c>
      <c r="L20" s="1">
        <f t="shared" si="2"/>
        <v>1.3807421319761526</v>
      </c>
      <c r="M20" s="27">
        <f t="shared" si="3"/>
        <v>0.59303784111726809</v>
      </c>
      <c r="N20" s="31">
        <f t="shared" si="9"/>
        <v>5.8781765492897122</v>
      </c>
    </row>
    <row r="21" spans="1:14" ht="15" customHeight="1" x14ac:dyDescent="0.25">
      <c r="A21" s="121">
        <f t="shared" si="7"/>
        <v>39</v>
      </c>
      <c r="B21" s="28">
        <f>IF(A21&gt;200,"",IF($C$1='Adj-Mixed'!$A$21,VLOOKUP(A21,'337'!$A$6:$AB$188,2,FALSE),IF($C$1='Adj-Mixed'!$A$20,VLOOKUP(A21,'337'!$A$6:$AB$188,11,FALSE),IF($C$1='Adj-Mixed'!$A$19,VLOOKUP(A21,'337'!$A$6:$AB$188,20,FALSE)))))</f>
        <v>10.498680140812647</v>
      </c>
      <c r="C21" s="26">
        <f t="shared" si="4"/>
        <v>404.1793239447511</v>
      </c>
      <c r="D21" s="27">
        <f t="shared" si="5"/>
        <v>0.80433794992295837</v>
      </c>
      <c r="E21" s="27">
        <f>IF(A21&gt;200,"",IF($C$1='Adj-Mixed'!$A$21,VLOOKUP(A21,'337'!$A$7:$AB$188,8,FALSE),IF($C$1='Adj-Mixed'!$A$20,VLOOKUP(A21,'337'!$A$7:$AB$188,17,FALSE),IF($C$1='Adj-Mixed'!$A$19,VLOOKUP(A21,'337'!$A$7:$AB$188,26,FALSE)))))</f>
        <v>1.2432585085607146</v>
      </c>
      <c r="F21" s="27">
        <f t="shared" si="1"/>
        <v>0.50249938347862921</v>
      </c>
      <c r="G21" s="28">
        <f t="shared" si="8"/>
        <v>5.2365121949933986</v>
      </c>
      <c r="I21" s="136">
        <f t="shared" si="6"/>
        <v>11.002458810619455</v>
      </c>
      <c r="J21" s="26">
        <f>IF(A21&gt;200,"",C21*'Adj-Barrows'!$C$6)</f>
        <v>445.56098476999023</v>
      </c>
      <c r="K21" s="27">
        <f>IF(A21&gt;200,"",D21*'Adj-Barrows'!$C$7)</f>
        <v>0.71409900010074512</v>
      </c>
      <c r="L21" s="1">
        <f t="shared" si="2"/>
        <v>1.4003660554893929</v>
      </c>
      <c r="M21" s="27">
        <f t="shared" si="3"/>
        <v>0.62394847872232062</v>
      </c>
      <c r="N21" s="31">
        <f t="shared" si="9"/>
        <v>6.5021250280120331</v>
      </c>
    </row>
    <row r="22" spans="1:14" ht="15" customHeight="1" x14ac:dyDescent="0.25">
      <c r="A22" s="121">
        <f t="shared" si="7"/>
        <v>40</v>
      </c>
      <c r="B22" s="28">
        <f>IF(A22&gt;200,"",IF($C$1='Adj-Mixed'!$A$21,VLOOKUP(A22,'337'!$A$6:$AB$188,2,FALSE),IF($C$1='Adj-Mixed'!$A$20,VLOOKUP(A22,'337'!$A$6:$AB$188,11,FALSE),IF($C$1='Adj-Mixed'!$A$19,VLOOKUP(A22,'337'!$A$6:$AB$188,20,FALSE)))))</f>
        <v>10.916862674964515</v>
      </c>
      <c r="C22" s="26">
        <f t="shared" si="4"/>
        <v>418.18253415186746</v>
      </c>
      <c r="D22" s="27">
        <f t="shared" si="5"/>
        <v>0.79292335390199331</v>
      </c>
      <c r="E22" s="27">
        <f>IF(A22&gt;200,"",IF($C$1='Adj-Mixed'!$A$21,VLOOKUP(A22,'337'!$A$7:$AB$188,8,FALSE),IF($C$1='Adj-Mixed'!$A$20,VLOOKUP(A22,'337'!$A$7:$AB$188,17,FALSE),IF($C$1='Adj-Mixed'!$A$19,VLOOKUP(A22,'337'!$A$7:$AB$188,26,FALSE)))))</f>
        <v>1.2611559428524559</v>
      </c>
      <c r="F22" s="27">
        <f t="shared" si="1"/>
        <v>0.52739338814272774</v>
      </c>
      <c r="G22" s="28">
        <f t="shared" si="8"/>
        <v>5.7639055831361263</v>
      </c>
      <c r="I22" s="136">
        <f t="shared" si="6"/>
        <v>11.463456715984316</v>
      </c>
      <c r="J22" s="26">
        <f>IF(A22&gt;200,"",C22*'Adj-Barrows'!$C$6)</f>
        <v>460.99790536486171</v>
      </c>
      <c r="K22" s="27">
        <f>IF(A22&gt;200,"",D22*'Adj-Barrows'!$C$7)</f>
        <v>0.70396501151310498</v>
      </c>
      <c r="L22" s="1">
        <f t="shared" si="2"/>
        <v>1.4205251449224676</v>
      </c>
      <c r="M22" s="27">
        <f t="shared" si="3"/>
        <v>0.65485911632737415</v>
      </c>
      <c r="N22" s="31">
        <f t="shared" si="9"/>
        <v>7.1569841443394075</v>
      </c>
    </row>
    <row r="23" spans="1:14" ht="15" customHeight="1" x14ac:dyDescent="0.25">
      <c r="A23" s="121">
        <f t="shared" si="7"/>
        <v>41</v>
      </c>
      <c r="B23" s="28">
        <f>IF(A23&gt;200,"",IF($C$1='Adj-Mixed'!$A$21,VLOOKUP(A23,'337'!$A$6:$AB$188,2,FALSE),IF($C$1='Adj-Mixed'!$A$20,VLOOKUP(A23,'337'!$A$6:$AB$188,11,FALSE),IF($C$1='Adj-Mixed'!$A$19,VLOOKUP(A23,'337'!$A$6:$AB$188,20,FALSE)))))</f>
        <v>11.348488290915215</v>
      </c>
      <c r="C23" s="26">
        <f t="shared" si="4"/>
        <v>431.62561595070059</v>
      </c>
      <c r="D23" s="27">
        <f t="shared" si="5"/>
        <v>0.78863299856631419</v>
      </c>
      <c r="E23" s="27">
        <f>IF(A23&gt;200,"",IF($C$1='Adj-Mixed'!$A$21,VLOOKUP(A23,'337'!$A$7:$AB$188,8,FALSE),IF($C$1='Adj-Mixed'!$A$20,VLOOKUP(A23,'337'!$A$7:$AB$188,17,FALSE),IF($C$1='Adj-Mixed'!$A$19,VLOOKUP(A23,'337'!$A$7:$AB$188,26,FALSE)))))</f>
        <v>1.2680169379393684</v>
      </c>
      <c r="F23" s="27">
        <f t="shared" si="1"/>
        <v>0.54730859187400116</v>
      </c>
      <c r="G23" s="28">
        <f t="shared" si="8"/>
        <v>6.3112141750101278</v>
      </c>
      <c r="I23" s="136">
        <f t="shared" si="6"/>
        <v>11.939274065120255</v>
      </c>
      <c r="J23" s="26">
        <f>IF(A23&gt;200,"",C23*'Adj-Barrows'!$C$6)</f>
        <v>475.81734913593982</v>
      </c>
      <c r="K23" s="27">
        <f>IF(A23&gt;200,"",D23*'Adj-Barrows'!$C$7)</f>
        <v>0.70015599261056682</v>
      </c>
      <c r="L23" s="1">
        <f t="shared" si="2"/>
        <v>1.4282531472328754</v>
      </c>
      <c r="M23" s="27">
        <f t="shared" si="3"/>
        <v>0.67958762641141002</v>
      </c>
      <c r="N23" s="31">
        <f t="shared" si="9"/>
        <v>7.8365717707508171</v>
      </c>
    </row>
    <row r="24" spans="1:14" ht="15" customHeight="1" x14ac:dyDescent="0.25">
      <c r="A24" s="121">
        <f t="shared" si="7"/>
        <v>42</v>
      </c>
      <c r="B24" s="28">
        <f>IF(A24&gt;200,"",IF($C$1='Adj-Mixed'!$A$21,VLOOKUP(A24,'337'!$A$6:$AB$188,2,FALSE),IF($C$1='Adj-Mixed'!$A$20,VLOOKUP(A24,'337'!$A$6:$AB$188,11,FALSE),IF($C$1='Adj-Mixed'!$A$19,VLOOKUP(A24,'337'!$A$6:$AB$188,20,FALSE)))))</f>
        <v>11.792996860256462</v>
      </c>
      <c r="C24" s="26">
        <f t="shared" si="4"/>
        <v>444.50856934124693</v>
      </c>
      <c r="D24" s="27">
        <f t="shared" si="5"/>
        <v>0.78365642059659302</v>
      </c>
      <c r="E24" s="27">
        <f>IF(A24&gt;200,"",IF($C$1='Adj-Mixed'!$A$21,VLOOKUP(A24,'337'!$A$7:$AB$188,8,FALSE),IF($C$1='Adj-Mixed'!$A$20,VLOOKUP(A24,'337'!$A$7:$AB$188,17,FALSE),IF($C$1='Adj-Mixed'!$A$19,VLOOKUP(A24,'337'!$A$7:$AB$188,26,FALSE)))))</f>
        <v>1.2760694275160867</v>
      </c>
      <c r="F24" s="27">
        <f t="shared" si="1"/>
        <v>0.56722379560527958</v>
      </c>
      <c r="G24" s="28">
        <f t="shared" si="8"/>
        <v>6.8784379706154075</v>
      </c>
      <c r="I24" s="136">
        <f t="shared" si="6"/>
        <v>12.429293381203475</v>
      </c>
      <c r="J24" s="26">
        <f>IF(A24&gt;200,"",C24*'Adj-Barrows'!$C$6)</f>
        <v>490.01931608322076</v>
      </c>
      <c r="K24" s="27">
        <f>IF(A24&gt;200,"",D24*'Adj-Barrows'!$C$7)</f>
        <v>0.69573773862610455</v>
      </c>
      <c r="L24" s="1">
        <f t="shared" si="2"/>
        <v>1.4373232102871576</v>
      </c>
      <c r="M24" s="27">
        <f t="shared" si="3"/>
        <v>0.70431613649545222</v>
      </c>
      <c r="N24" s="31">
        <f t="shared" si="9"/>
        <v>8.5408879072462689</v>
      </c>
    </row>
    <row r="25" spans="1:14" ht="15" customHeight="1" x14ac:dyDescent="0.25">
      <c r="A25" s="121">
        <f t="shared" si="7"/>
        <v>43</v>
      </c>
      <c r="B25" s="28">
        <f>IF(A25&gt;200,"",IF($C$1='Adj-Mixed'!$A$21,VLOOKUP(A25,'337'!$A$6:$AB$188,2,FALSE),IF($C$1='Adj-Mixed'!$A$20,VLOOKUP(A25,'337'!$A$6:$AB$188,11,FALSE),IF($C$1='Adj-Mixed'!$A$19,VLOOKUP(A25,'337'!$A$6:$AB$188,20,FALSE)))))</f>
        <v>12.247458722066353</v>
      </c>
      <c r="C25" s="26">
        <f t="shared" si="4"/>
        <v>454.46186180989122</v>
      </c>
      <c r="D25" s="27">
        <f t="shared" si="5"/>
        <v>0.77402772141420173</v>
      </c>
      <c r="E25" s="27">
        <f>IF(A25&gt;200,"",IF($C$1='Adj-Mixed'!$A$21,VLOOKUP(A25,'337'!$A$7:$AB$188,8,FALSE),IF($C$1='Adj-Mixed'!$A$20,VLOOKUP(A25,'337'!$A$7:$AB$188,17,FALSE),IF($C$1='Adj-Mixed'!$A$19,VLOOKUP(A25,'337'!$A$7:$AB$188,26,FALSE)))))</f>
        <v>1.2919433921215786</v>
      </c>
      <c r="F25" s="27">
        <f t="shared" si="1"/>
        <v>0.587138999336559</v>
      </c>
      <c r="G25" s="28">
        <f t="shared" si="8"/>
        <v>7.4655769699519663</v>
      </c>
      <c r="I25" s="136">
        <f t="shared" si="6"/>
        <v>12.93028505171282</v>
      </c>
      <c r="J25" s="26">
        <f>IF(A25&gt;200,"",C25*'Adj-Barrows'!$C$6)</f>
        <v>500.99167050934449</v>
      </c>
      <c r="K25" s="27">
        <f>IF(A25&gt;200,"",D25*'Adj-Barrows'!$C$7)</f>
        <v>0.68718928649963829</v>
      </c>
      <c r="L25" s="1">
        <f t="shared" si="2"/>
        <v>1.4552031291025174</v>
      </c>
      <c r="M25" s="27">
        <f t="shared" si="3"/>
        <v>0.72904464657949553</v>
      </c>
      <c r="N25" s="31">
        <f t="shared" si="9"/>
        <v>9.2699325538257646</v>
      </c>
    </row>
    <row r="26" spans="1:14" ht="15" customHeight="1" x14ac:dyDescent="0.25">
      <c r="A26" s="121">
        <f t="shared" si="7"/>
        <v>44</v>
      </c>
      <c r="B26" s="28">
        <f>IF(A26&gt;200,"",IF($C$1='Adj-Mixed'!$A$21,VLOOKUP(A26,'337'!$A$6:$AB$188,2,FALSE),IF($C$1='Adj-Mixed'!$A$20,VLOOKUP(A26,'337'!$A$6:$AB$188,11,FALSE),IF($C$1='Adj-Mixed'!$A$19,VLOOKUP(A26,'337'!$A$6:$AB$188,20,FALSE)))))</f>
        <v>12.712096747258519</v>
      </c>
      <c r="C26" s="26">
        <f t="shared" si="4"/>
        <v>464.63802519216557</v>
      </c>
      <c r="D26" s="27">
        <f t="shared" si="5"/>
        <v>0.76539792137844076</v>
      </c>
      <c r="E26" s="27">
        <f>IF(A26&gt;200,"",IF($C$1='Adj-Mixed'!$A$21,VLOOKUP(A26,'337'!$A$7:$AB$188,8,FALSE),IF($C$1='Adj-Mixed'!$A$20,VLOOKUP(A26,'337'!$A$7:$AB$188,17,FALSE),IF($C$1='Adj-Mixed'!$A$19,VLOOKUP(A26,'337'!$A$7:$AB$188,26,FALSE)))))</f>
        <v>1.3065099500127377</v>
      </c>
      <c r="F26" s="27">
        <f t="shared" si="1"/>
        <v>0.60705420306783342</v>
      </c>
      <c r="G26" s="28">
        <f t="shared" si="8"/>
        <v>8.0726311730198006</v>
      </c>
      <c r="I26" s="136">
        <f t="shared" si="6"/>
        <v>13.44249476606848</v>
      </c>
      <c r="J26" s="26">
        <f>IF(A26&gt;200,"",C26*'Adj-Barrows'!$C$6)</f>
        <v>512.20971435566025</v>
      </c>
      <c r="K26" s="27">
        <f>IF(A26&gt;200,"",D26*'Adj-Barrows'!$C$7)</f>
        <v>0.67952766668274844</v>
      </c>
      <c r="L26" s="1">
        <f t="shared" si="2"/>
        <v>1.4716104274042321</v>
      </c>
      <c r="M26" s="27">
        <f t="shared" si="3"/>
        <v>0.75377315666353273</v>
      </c>
      <c r="N26" s="31">
        <f t="shared" si="9"/>
        <v>10.023705710489297</v>
      </c>
    </row>
    <row r="27" spans="1:14" ht="15" customHeight="1" x14ac:dyDescent="0.25">
      <c r="A27" s="121">
        <f>A26+1</f>
        <v>45</v>
      </c>
      <c r="B27" s="28">
        <f>IF(A27&gt;200,"",IF($C$1='Adj-Mixed'!$A$21,VLOOKUP(A27,'337'!$A$6:$AB$188,2,FALSE),IF($C$1='Adj-Mixed'!$A$20,VLOOKUP(A27,'337'!$A$6:$AB$188,11,FALSE),IF($C$1='Adj-Mixed'!$A$19,VLOOKUP(A27,'337'!$A$6:$AB$188,20,FALSE)))))</f>
        <v>13.187138797200186</v>
      </c>
      <c r="C27" s="26">
        <f t="shared" si="4"/>
        <v>475.04204994166696</v>
      </c>
      <c r="D27" s="27">
        <f t="shared" si="5"/>
        <v>0.75767979233135696</v>
      </c>
      <c r="E27" s="27">
        <f>IF(A27&gt;200,"",IF($C$1='Adj-Mixed'!$A$21,VLOOKUP(A27,'337'!$A$7:$AB$188,8,FALSE),IF($C$1='Adj-Mixed'!$A$20,VLOOKUP(A27,'337'!$A$7:$AB$188,17,FALSE),IF($C$1='Adj-Mixed'!$A$19,VLOOKUP(A27,'337'!$A$7:$AB$188,26,FALSE)))))</f>
        <v>1.3198187547315092</v>
      </c>
      <c r="F27" s="27">
        <f t="shared" si="1"/>
        <v>0.62696940679911428</v>
      </c>
      <c r="G27" s="28">
        <f t="shared" si="8"/>
        <v>8.6996005798189149</v>
      </c>
      <c r="I27" s="136">
        <f t="shared" si="6"/>
        <v>13.966173715088882</v>
      </c>
      <c r="J27" s="26">
        <f>IF(A27&gt;200,"",C27*'Adj-Barrows'!$C$6)</f>
        <v>523.67894902040234</v>
      </c>
      <c r="K27" s="27">
        <f>IF(A27&gt;200,"",D27*'Adj-Barrows'!$C$7)</f>
        <v>0.67267543717436951</v>
      </c>
      <c r="L27" s="1">
        <f t="shared" si="2"/>
        <v>1.4866010333312976</v>
      </c>
      <c r="M27" s="27">
        <f t="shared" si="3"/>
        <v>0.77850166674757804</v>
      </c>
      <c r="N27" s="31">
        <f t="shared" si="9"/>
        <v>10.802207377236876</v>
      </c>
    </row>
    <row r="28" spans="1:14" ht="15" customHeight="1" x14ac:dyDescent="0.25">
      <c r="A28" s="121">
        <f>A27+1</f>
        <v>46</v>
      </c>
      <c r="B28" s="28">
        <f>IF(A28&gt;200,"",IF($C$1='Adj-Mixed'!$A$21,VLOOKUP(A28,'337'!$A$6:$AB$188,2,FALSE),IF($C$1='Adj-Mixed'!$A$20,VLOOKUP(A28,'337'!$A$6:$AB$188,11,FALSE),IF($C$1='Adj-Mixed'!$A$19,VLOOKUP(A28,'337'!$A$6:$AB$188,20,FALSE)))))</f>
        <v>13.672817835456788</v>
      </c>
      <c r="C28" s="26">
        <f t="shared" si="4"/>
        <v>485.67903825660255</v>
      </c>
      <c r="D28" s="27">
        <f t="shared" si="5"/>
        <v>0.75079702059752063</v>
      </c>
      <c r="E28" s="27">
        <f>IF(A28&gt;200,"",IF($C$1='Adj-Mixed'!$A$21,VLOOKUP(A28,'337'!$A$7:$AB$188,8,FALSE),IF($C$1='Adj-Mixed'!$A$20,VLOOKUP(A28,'337'!$A$7:$AB$188,17,FALSE),IF($C$1='Adj-Mixed'!$A$19,VLOOKUP(A28,'337'!$A$7:$AB$188,26,FALSE)))))</f>
        <v>1.3319179119865867</v>
      </c>
      <c r="F28" s="27">
        <f t="shared" si="1"/>
        <v>0.64688461053038759</v>
      </c>
      <c r="G28" s="28">
        <f t="shared" si="8"/>
        <v>9.346485190349302</v>
      </c>
      <c r="I28" s="136">
        <f t="shared" si="6"/>
        <v>14.501578714176203</v>
      </c>
      <c r="J28" s="26">
        <f>IF(A28&gt;200,"",C28*'Adj-Barrows'!$C$6)</f>
        <v>535.40499908732124</v>
      </c>
      <c r="K28" s="27">
        <f>IF(A28&gt;200,"",D28*'Adj-Barrows'!$C$7)</f>
        <v>0.66656484595643062</v>
      </c>
      <c r="L28" s="1">
        <f t="shared" si="2"/>
        <v>1.5002291315935434</v>
      </c>
      <c r="M28" s="27">
        <f t="shared" si="3"/>
        <v>0.8032301768316138</v>
      </c>
      <c r="N28" s="31">
        <f t="shared" si="9"/>
        <v>11.605437554068489</v>
      </c>
    </row>
    <row r="29" spans="1:14" ht="15" customHeight="1" x14ac:dyDescent="0.25">
      <c r="A29" s="121">
        <f t="shared" ref="A29:A40" si="10">A28+1</f>
        <v>47</v>
      </c>
      <c r="B29" s="28">
        <f>IF(A29&gt;200,"",IF($C$1='Adj-Mixed'!$A$21,VLOOKUP(A29,'337'!$A$6:$AB$188,2,FALSE),IF($C$1='Adj-Mixed'!$A$20,VLOOKUP(A29,'337'!$A$6:$AB$188,11,FALSE),IF($C$1='Adj-Mixed'!$A$19,VLOOKUP(A29,'337'!$A$6:$AB$188,20,FALSE)))))</f>
        <v>14.169372042038768</v>
      </c>
      <c r="C29" s="26">
        <f t="shared" si="4"/>
        <v>496.55420658197966</v>
      </c>
      <c r="D29" s="27">
        <f t="shared" si="5"/>
        <v>0.74136126303600558</v>
      </c>
      <c r="E29" s="27">
        <f>IF(A29&gt;200,"",IF($C$1='Adj-Mixed'!$A$21,VLOOKUP(A29,'337'!$A$7:$AB$188,8,FALSE),IF($C$1='Adj-Mixed'!$A$20,VLOOKUP(A29,'337'!$A$7:$AB$188,17,FALSE),IF($C$1='Adj-Mixed'!$A$19,VLOOKUP(A29,'337'!$A$7:$AB$188,26,FALSE)))))</f>
        <v>1.3488700446862074</v>
      </c>
      <c r="F29" s="27">
        <f t="shared" si="1"/>
        <v>0.66978709482135912</v>
      </c>
      <c r="G29" s="28">
        <f t="shared" si="8"/>
        <v>10.016272285170661</v>
      </c>
      <c r="I29" s="136">
        <f t="shared" si="6"/>
        <v>15.048972329260261</v>
      </c>
      <c r="J29" s="26">
        <f>IF(A29&gt;200,"",C29*'Adj-Barrows'!$C$6)</f>
        <v>547.39361508405841</v>
      </c>
      <c r="K29" s="27">
        <f>IF(A29&gt;200,"",D29*'Adj-Barrows'!$C$7)</f>
        <v>0.65818768926437565</v>
      </c>
      <c r="L29" s="1">
        <f t="shared" si="2"/>
        <v>1.5193234639767439</v>
      </c>
      <c r="M29" s="27">
        <f t="shared" si="3"/>
        <v>0.83166796342826399</v>
      </c>
      <c r="N29" s="31">
        <f t="shared" si="9"/>
        <v>12.437105517496754</v>
      </c>
    </row>
    <row r="30" spans="1:14" ht="15" customHeight="1" x14ac:dyDescent="0.25">
      <c r="A30" s="121">
        <f t="shared" si="10"/>
        <v>48</v>
      </c>
      <c r="B30" s="28">
        <f>IF(A30&gt;200,"",IF($C$1='Adj-Mixed'!$A$21,VLOOKUP(A30,'337'!$A$6:$AB$188,2,FALSE),IF($C$1='Adj-Mixed'!$A$20,VLOOKUP(A30,'337'!$A$6:$AB$188,11,FALSE),IF($C$1='Adj-Mixed'!$A$19,VLOOKUP(A30,'337'!$A$6:$AB$188,20,FALSE)))))</f>
        <v>14.677044930206504</v>
      </c>
      <c r="C30" s="26">
        <f t="shared" si="4"/>
        <v>507.67288816773612</v>
      </c>
      <c r="D30" s="27">
        <f t="shared" si="5"/>
        <v>0.73290100425404048</v>
      </c>
      <c r="E30" s="27">
        <f>IF(A30&gt;200,"",IF($C$1='Adj-Mixed'!$A$21,VLOOKUP(A30,'337'!$A$7:$AB$188,8,FALSE),IF($C$1='Adj-Mixed'!$A$20,VLOOKUP(A30,'337'!$A$7:$AB$188,17,FALSE),IF($C$1='Adj-Mixed'!$A$19,VLOOKUP(A30,'337'!$A$7:$AB$188,26,FALSE)))))</f>
        <v>1.3644407555667324</v>
      </c>
      <c r="F30" s="27">
        <f t="shared" si="1"/>
        <v>0.69268957911233109</v>
      </c>
      <c r="G30" s="28">
        <f t="shared" si="8"/>
        <v>10.708961864282992</v>
      </c>
      <c r="I30" s="136">
        <f t="shared" si="6"/>
        <v>15.60862300556245</v>
      </c>
      <c r="J30" s="26">
        <f>IF(A30&gt;200,"",C30*'Adj-Barrows'!$C$6)</f>
        <v>559.65067630218937</v>
      </c>
      <c r="K30" s="27">
        <f>IF(A30&gt;200,"",D30*'Adj-Barrows'!$C$7)</f>
        <v>0.65067658981000631</v>
      </c>
      <c r="L30" s="1">
        <f t="shared" si="2"/>
        <v>1.5368618076331808</v>
      </c>
      <c r="M30" s="27">
        <f t="shared" si="3"/>
        <v>0.86010575002491485</v>
      </c>
      <c r="N30" s="31">
        <f t="shared" si="9"/>
        <v>13.297211267521668</v>
      </c>
    </row>
    <row r="31" spans="1:14" ht="15" customHeight="1" x14ac:dyDescent="0.25">
      <c r="A31" s="121">
        <f t="shared" si="10"/>
        <v>49</v>
      </c>
      <c r="B31" s="28">
        <f>IF(A31&gt;200,"",IF($C$1='Adj-Mixed'!$A$21,VLOOKUP(A31,'337'!$A$6:$AB$188,2,FALSE),IF($C$1='Adj-Mixed'!$A$20,VLOOKUP(A31,'337'!$A$6:$AB$188,11,FALSE),IF($C$1='Adj-Mixed'!$A$19,VLOOKUP(A31,'337'!$A$6:$AB$188,20,FALSE)))))</f>
        <v>15.196085465890738</v>
      </c>
      <c r="C31" s="26">
        <f t="shared" si="4"/>
        <v>519.04053568423342</v>
      </c>
      <c r="D31" s="27">
        <f t="shared" si="5"/>
        <v>0.72533020170139884</v>
      </c>
      <c r="E31" s="27">
        <f>IF(A31&gt;200,"",IF($C$1='Adj-Mixed'!$A$21,VLOOKUP(A31,'337'!$A$7:$AB$188,8,FALSE),IF($C$1='Adj-Mixed'!$A$20,VLOOKUP(A31,'337'!$A$7:$AB$188,17,FALSE),IF($C$1='Adj-Mixed'!$A$19,VLOOKUP(A31,'337'!$A$7:$AB$188,26,FALSE)))))</f>
        <v>1.3786824230596098</v>
      </c>
      <c r="F31" s="27">
        <f t="shared" si="1"/>
        <v>0.71559206340329673</v>
      </c>
      <c r="G31" s="28">
        <f t="shared" si="8"/>
        <v>11.424553927686288</v>
      </c>
      <c r="I31" s="136">
        <f t="shared" si="6"/>
        <v>16.180805199242954</v>
      </c>
      <c r="J31" s="26">
        <f>IF(A31&gt;200,"",C31*'Adj-Barrows'!$C$6)</f>
        <v>572.18219368050291</v>
      </c>
      <c r="K31" s="27">
        <f>IF(A31&gt;200,"",D31*'Adj-Barrows'!$C$7)</f>
        <v>0.64395515818624749</v>
      </c>
      <c r="L31" s="1">
        <f t="shared" si="2"/>
        <v>1.5529031599289957</v>
      </c>
      <c r="M31" s="27">
        <f t="shared" si="3"/>
        <v>0.88854353662155761</v>
      </c>
      <c r="N31" s="31">
        <f t="shared" si="9"/>
        <v>14.185754804143226</v>
      </c>
    </row>
    <row r="32" spans="1:14" ht="15" customHeight="1" x14ac:dyDescent="0.25">
      <c r="A32" s="121">
        <f t="shared" si="10"/>
        <v>50</v>
      </c>
      <c r="B32" s="28">
        <f>IF(A32&gt;200,"",IF($C$1='Adj-Mixed'!$A$21,VLOOKUP(A32,'337'!$A$6:$AB$188,2,FALSE),IF($C$1='Adj-Mixed'!$A$20,VLOOKUP(A32,'337'!$A$6:$AB$188,11,FALSE),IF($C$1='Adj-Mixed'!$A$19,VLOOKUP(A32,'337'!$A$6:$AB$188,20,FALSE)))))</f>
        <v>15.726748189787006</v>
      </c>
      <c r="C32" s="26">
        <f t="shared" si="4"/>
        <v>530.66272389626863</v>
      </c>
      <c r="D32" s="27">
        <f t="shared" si="5"/>
        <v>0.71857365169872967</v>
      </c>
      <c r="E32" s="27">
        <f>IF(A32&gt;200,"",IF($C$1='Adj-Mixed'!$A$21,VLOOKUP(A32,'337'!$A$7:$AB$188,8,FALSE),IF($C$1='Adj-Mixed'!$A$20,VLOOKUP(A32,'337'!$A$7:$AB$188,17,FALSE),IF($C$1='Adj-Mixed'!$A$19,VLOOKUP(A32,'337'!$A$7:$AB$188,26,FALSE)))))</f>
        <v>1.3916457939084881</v>
      </c>
      <c r="F32" s="27">
        <f t="shared" si="1"/>
        <v>0.73849454769426359</v>
      </c>
      <c r="G32" s="28">
        <f t="shared" si="8"/>
        <v>12.163048475380553</v>
      </c>
      <c r="I32" s="136">
        <f t="shared" si="6"/>
        <v>16.765799511995745</v>
      </c>
      <c r="J32" s="26">
        <f>IF(A32&gt;200,"",C32*'Adj-Barrows'!$C$6)</f>
        <v>584.99431275278982</v>
      </c>
      <c r="K32" s="27">
        <f>IF(A32&gt;200,"",D32*'Adj-Barrows'!$C$7)</f>
        <v>0.63795662784026674</v>
      </c>
      <c r="L32" s="1">
        <f t="shared" si="2"/>
        <v>1.5675046803501234</v>
      </c>
      <c r="M32" s="27">
        <f t="shared" si="3"/>
        <v>0.91698132321820192</v>
      </c>
      <c r="N32" s="31">
        <f t="shared" si="9"/>
        <v>15.102736127361428</v>
      </c>
    </row>
    <row r="33" spans="1:14" ht="15" customHeight="1" x14ac:dyDescent="0.25">
      <c r="A33" s="121">
        <f t="shared" si="10"/>
        <v>51</v>
      </c>
      <c r="B33" s="28">
        <f>IF(A33&gt;200,"",IF($C$1='Adj-Mixed'!$A$21,VLOOKUP(A33,'337'!$A$6:$AB$188,2,FALSE),IF($C$1='Adj-Mixed'!$A$20,VLOOKUP(A33,'337'!$A$6:$AB$188,11,FALSE),IF($C$1='Adj-Mixed'!$A$19,VLOOKUP(A33,'337'!$A$6:$AB$188,20,FALSE)))))</f>
        <v>16.269293342183975</v>
      </c>
      <c r="C33" s="26">
        <f t="shared" si="4"/>
        <v>542.54515239696843</v>
      </c>
      <c r="D33" s="27">
        <f t="shared" si="5"/>
        <v>0.71256536288611527</v>
      </c>
      <c r="E33" s="27">
        <f>IF(A33&gt;200,"",IF($C$1='Adj-Mixed'!$A$21,VLOOKUP(A33,'337'!$A$7:$AB$188,8,FALSE),IF($C$1='Adj-Mixed'!$A$20,VLOOKUP(A33,'337'!$A$7:$AB$188,17,FALSE),IF($C$1='Adj-Mixed'!$A$19,VLOOKUP(A33,'337'!$A$7:$AB$188,26,FALSE)))))</f>
        <v>1.4033800295171288</v>
      </c>
      <c r="F33" s="27">
        <f t="shared" si="1"/>
        <v>0.76139703198523268</v>
      </c>
      <c r="G33" s="28">
        <f t="shared" si="8"/>
        <v>12.924445507365785</v>
      </c>
      <c r="I33" s="136">
        <f t="shared" si="6"/>
        <v>17.363892828657391</v>
      </c>
      <c r="J33" s="26">
        <f>IF(A33&gt;200,"",C33*'Adj-Barrows'!$C$6)</f>
        <v>598.09331666164519</v>
      </c>
      <c r="K33" s="27">
        <f>IF(A33&gt;200,"",D33*'Adj-Barrows'!$C$7)</f>
        <v>0.63262241100539607</v>
      </c>
      <c r="L33" s="1">
        <f t="shared" si="2"/>
        <v>1.5807217427070732</v>
      </c>
      <c r="M33" s="27">
        <f t="shared" si="3"/>
        <v>0.94541910981484922</v>
      </c>
      <c r="N33" s="31">
        <f t="shared" si="9"/>
        <v>16.048155237176278</v>
      </c>
    </row>
    <row r="34" spans="1:14" ht="15" customHeight="1" x14ac:dyDescent="0.25">
      <c r="A34" s="121">
        <f t="shared" si="10"/>
        <v>52</v>
      </c>
      <c r="B34" s="28">
        <f>IF(A34&gt;200,"",IF($C$1='Adj-Mixed'!$A$21,VLOOKUP(A34,'337'!$A$6:$AB$188,2,FALSE),IF($C$1='Adj-Mixed'!$A$20,VLOOKUP(A34,'337'!$A$6:$AB$188,11,FALSE),IF($C$1='Adj-Mixed'!$A$19,VLOOKUP(A34,'337'!$A$6:$AB$188,20,FALSE)))))</f>
        <v>16.823986990586896</v>
      </c>
      <c r="C34" s="26">
        <f t="shared" si="4"/>
        <v>554.69364840292099</v>
      </c>
      <c r="D34" s="27">
        <f t="shared" si="5"/>
        <v>0.7072472147331712</v>
      </c>
      <c r="E34" s="27">
        <f>IF(A34&gt;200,"",IF($C$1='Adj-Mixed'!$A$21,VLOOKUP(A34,'337'!$A$7:$AB$188,8,FALSE),IF($C$1='Adj-Mixed'!$A$20,VLOOKUP(A34,'337'!$A$7:$AB$188,17,FALSE),IF($C$1='Adj-Mixed'!$A$19,VLOOKUP(A34,'337'!$A$7:$AB$188,26,FALSE)))))</f>
        <v>1.4139327510498263</v>
      </c>
      <c r="F34" s="27">
        <f t="shared" si="1"/>
        <v>0.78429951627620709</v>
      </c>
      <c r="G34" s="28">
        <f t="shared" si="8"/>
        <v>13.708745023641992</v>
      </c>
      <c r="I34" s="136">
        <f t="shared" si="6"/>
        <v>17.975378457897168</v>
      </c>
      <c r="J34" s="26">
        <f>IF(A34&gt;200,"",C34*'Adj-Barrows'!$C$6)</f>
        <v>611.48562923977795</v>
      </c>
      <c r="K34" s="27">
        <f>IF(A34&gt;200,"",D34*'Adj-Barrows'!$C$7)</f>
        <v>0.62790090771344187</v>
      </c>
      <c r="L34" s="1">
        <f t="shared" si="2"/>
        <v>1.5926079859345812</v>
      </c>
      <c r="M34" s="27">
        <f t="shared" si="3"/>
        <v>0.97385689641150275</v>
      </c>
      <c r="N34" s="31">
        <f t="shared" si="9"/>
        <v>17.022012133587779</v>
      </c>
    </row>
    <row r="35" spans="1:14" ht="15" customHeight="1" x14ac:dyDescent="0.25">
      <c r="A35" s="121">
        <f t="shared" si="10"/>
        <v>53</v>
      </c>
      <c r="B35" s="28">
        <f>IF(A35&gt;200,"",IF($C$1='Adj-Mixed'!$A$21,VLOOKUP(A35,'337'!$A$6:$AB$188,2,FALSE),IF($C$1='Adj-Mixed'!$A$20,VLOOKUP(A35,'337'!$A$6:$AB$188,11,FALSE),IF($C$1='Adj-Mixed'!$A$19,VLOOKUP(A35,'337'!$A$6:$AB$188,20,FALSE)))))</f>
        <v>17.391101160198737</v>
      </c>
      <c r="C35" s="26">
        <f t="shared" si="4"/>
        <v>567.11416961184113</v>
      </c>
      <c r="D35" s="27">
        <f t="shared" si="5"/>
        <v>0.7025678444966228</v>
      </c>
      <c r="E35" s="27">
        <f>IF(A35&gt;200,"",IF($C$1='Adj-Mixed'!$A$21,VLOOKUP(A35,'337'!$A$7:$AB$188,8,FALSE),IF($C$1='Adj-Mixed'!$A$20,VLOOKUP(A35,'337'!$A$7:$AB$188,17,FALSE),IF($C$1='Adj-Mixed'!$A$19,VLOOKUP(A35,'337'!$A$7:$AB$188,26,FALSE)))))</f>
        <v>1.4233500833168389</v>
      </c>
      <c r="F35" s="27">
        <f t="shared" si="1"/>
        <v>0.80720200056717395</v>
      </c>
      <c r="G35" s="28">
        <f t="shared" si="8"/>
        <v>14.515947024209165</v>
      </c>
      <c r="I35" s="136">
        <f t="shared" si="6"/>
        <v>18.600556276057425</v>
      </c>
      <c r="J35" s="26">
        <f>IF(A35&gt;200,"",C35*'Adj-Barrows'!$C$6)</f>
        <v>625.17781816025695</v>
      </c>
      <c r="K35" s="27">
        <f>IF(A35&gt;200,"",D35*'Adj-Barrows'!$C$7)</f>
        <v>0.6237465176248721</v>
      </c>
      <c r="L35" s="1">
        <f t="shared" si="2"/>
        <v>1.603215363522736</v>
      </c>
      <c r="M35" s="27">
        <f t="shared" si="3"/>
        <v>1.0022946830081474</v>
      </c>
      <c r="N35" s="31">
        <f t="shared" si="9"/>
        <v>18.024306816595928</v>
      </c>
    </row>
    <row r="36" spans="1:14" ht="15" customHeight="1" x14ac:dyDescent="0.25">
      <c r="A36" s="121">
        <f t="shared" si="10"/>
        <v>54</v>
      </c>
      <c r="B36" s="28">
        <f>IF(A36&gt;200,"",IF($C$1='Adj-Mixed'!$A$21,VLOOKUP(A36,'337'!$A$6:$AB$188,2,FALSE),IF($C$1='Adj-Mixed'!$A$20,VLOOKUP(A36,'337'!$A$6:$AB$188,11,FALSE),IF($C$1='Adj-Mixed'!$A$19,VLOOKUP(A36,'337'!$A$6:$AB$188,20,FALSE)))))</f>
        <v>17.970913967323071</v>
      </c>
      <c r="C36" s="26">
        <f t="shared" si="4"/>
        <v>579.81280712433409</v>
      </c>
      <c r="D36" s="27">
        <f t="shared" si="5"/>
        <v>0.69848171850730134</v>
      </c>
      <c r="E36" s="27">
        <f>IF(A36&gt;200,"",IF($C$1='Adj-Mixed'!$A$21,VLOOKUP(A36,'337'!$A$7:$AB$188,8,FALSE),IF($C$1='Adj-Mixed'!$A$20,VLOOKUP(A36,'337'!$A$7:$AB$188,17,FALSE),IF($C$1='Adj-Mixed'!$A$19,VLOOKUP(A36,'337'!$A$7:$AB$188,26,FALSE)))))</f>
        <v>1.4316766974761514</v>
      </c>
      <c r="F36" s="27">
        <f t="shared" si="1"/>
        <v>0.83010448485814348</v>
      </c>
      <c r="G36" s="28">
        <f t="shared" si="8"/>
        <v>15.346051509067308</v>
      </c>
      <c r="I36" s="136">
        <f t="shared" si="6"/>
        <v>19.239732874214841</v>
      </c>
      <c r="J36" s="26">
        <f>IF(A36&gt;200,"",C36*'Adj-Barrows'!$C$6)</f>
        <v>639.17659815741717</v>
      </c>
      <c r="K36" s="27">
        <f>IF(A36&gt;200,"",D36*'Adj-Barrows'!$C$7)</f>
        <v>0.62011881550844261</v>
      </c>
      <c r="L36" s="1">
        <f t="shared" si="2"/>
        <v>1.6125941916148576</v>
      </c>
      <c r="M36" s="27">
        <f t="shared" si="3"/>
        <v>1.0307324696047948</v>
      </c>
      <c r="N36" s="31">
        <f t="shared" si="9"/>
        <v>19.055039286200724</v>
      </c>
    </row>
    <row r="37" spans="1:14" ht="15" customHeight="1" x14ac:dyDescent="0.25">
      <c r="A37" s="121">
        <f t="shared" si="10"/>
        <v>55</v>
      </c>
      <c r="B37" s="28">
        <f>IF(A37&gt;200,"",IF($C$1='Adj-Mixed'!$A$21,VLOOKUP(A37,'337'!$A$6:$AB$188,2,FALSE),IF($C$1='Adj-Mixed'!$A$20,VLOOKUP(A37,'337'!$A$6:$AB$188,11,FALSE),IF($C$1='Adj-Mixed'!$A$19,VLOOKUP(A37,'337'!$A$6:$AB$188,20,FALSE)))))</f>
        <v>18.563709755753983</v>
      </c>
      <c r="C37" s="26">
        <f t="shared" si="4"/>
        <v>592.79578843091235</v>
      </c>
      <c r="D37" s="27">
        <f t="shared" si="5"/>
        <v>0.69332963238585466</v>
      </c>
      <c r="E37" s="27">
        <f>IF(A37&gt;200,"",IF($C$1='Adj-Mixed'!$A$21,VLOOKUP(A37,'337'!$A$7:$AB$188,8,FALSE),IF($C$1='Adj-Mixed'!$A$20,VLOOKUP(A37,'337'!$A$7:$AB$188,17,FALSE),IF($C$1='Adj-Mixed'!$A$19,VLOOKUP(A37,'337'!$A$7:$AB$188,26,FALSE)))))</f>
        <v>1.4423153912502558</v>
      </c>
      <c r="F37" s="27">
        <f t="shared" si="1"/>
        <v>0.85499848952223523</v>
      </c>
      <c r="G37" s="28">
        <f t="shared" si="8"/>
        <v>16.201049998589543</v>
      </c>
      <c r="I37" s="136">
        <f t="shared" si="6"/>
        <v>19.89322170853454</v>
      </c>
      <c r="J37" s="26">
        <f>IF(A37&gt;200,"",C37*'Adj-Barrows'!$C$6)</f>
        <v>653.48883431970069</v>
      </c>
      <c r="K37" s="27">
        <f>IF(A37&gt;200,"",D37*'Adj-Barrows'!$C$7)</f>
        <v>0.61554474369185064</v>
      </c>
      <c r="L37" s="1">
        <f t="shared" si="2"/>
        <v>1.6245772711863371</v>
      </c>
      <c r="M37" s="27">
        <f t="shared" si="3"/>
        <v>1.0616431072098398</v>
      </c>
      <c r="N37" s="31">
        <f t="shared" si="9"/>
        <v>20.116682393410564</v>
      </c>
    </row>
    <row r="38" spans="1:14" ht="15" customHeight="1" x14ac:dyDescent="0.25">
      <c r="A38" s="121">
        <f t="shared" si="10"/>
        <v>56</v>
      </c>
      <c r="B38" s="28">
        <f>IF(A38&gt;200,"",IF($C$1='Adj-Mixed'!$A$21,VLOOKUP(A38,'337'!$A$6:$AB$188,2,FALSE),IF($C$1='Adj-Mixed'!$A$20,VLOOKUP(A38,'337'!$A$6:$AB$188,11,FALSE),IF($C$1='Adj-Mixed'!$A$19,VLOOKUP(A38,'337'!$A$6:$AB$188,20,FALSE)))))</f>
        <v>19.169779236220077</v>
      </c>
      <c r="C38" s="26">
        <f t="shared" si="4"/>
        <v>606.0694804660933</v>
      </c>
      <c r="D38" s="27">
        <f t="shared" si="5"/>
        <v>0.68879946637860923</v>
      </c>
      <c r="E38" s="27">
        <f>IF(A38&gt;200,"",IF($C$1='Adj-Mixed'!$A$21,VLOOKUP(A38,'337'!$A$7:$AB$188,8,FALSE),IF($C$1='Adj-Mixed'!$A$20,VLOOKUP(A38,'337'!$A$7:$AB$188,17,FALSE),IF($C$1='Adj-Mixed'!$A$19,VLOOKUP(A38,'337'!$A$7:$AB$188,26,FALSE)))))</f>
        <v>1.4518013570154751</v>
      </c>
      <c r="F38" s="27">
        <f t="shared" si="1"/>
        <v>0.87989249418633819</v>
      </c>
      <c r="G38" s="28">
        <f t="shared" si="8"/>
        <v>17.080942492775883</v>
      </c>
      <c r="I38" s="136">
        <f t="shared" si="6"/>
        <v>20.561343253990987</v>
      </c>
      <c r="J38" s="26">
        <f>IF(A38&gt;200,"",C38*'Adj-Barrows'!$C$6)</f>
        <v>668.1215454564466</v>
      </c>
      <c r="K38" s="27">
        <f>IF(A38&gt;200,"",D38*'Adj-Barrows'!$C$7)</f>
        <v>0.61152281855904511</v>
      </c>
      <c r="L38" s="1">
        <f t="shared" si="2"/>
        <v>1.6352619553205532</v>
      </c>
      <c r="M38" s="27">
        <f t="shared" si="3"/>
        <v>1.0925537448148988</v>
      </c>
      <c r="N38" s="31">
        <f t="shared" si="9"/>
        <v>21.209236138225464</v>
      </c>
    </row>
    <row r="39" spans="1:14" ht="15" customHeight="1" x14ac:dyDescent="0.25">
      <c r="A39" s="121">
        <f t="shared" si="10"/>
        <v>57</v>
      </c>
      <c r="B39" s="28">
        <f>IF(A39&gt;200,"",IF($C$1='Adj-Mixed'!$A$21,VLOOKUP(A39,'337'!$A$6:$AB$188,2,FALSE),IF($C$1='Adj-Mixed'!$A$20,VLOOKUP(A39,'337'!$A$6:$AB$188,11,FALSE),IF($C$1='Adj-Mixed'!$A$19,VLOOKUP(A39,'337'!$A$6:$AB$188,20,FALSE)))))</f>
        <v>19.789419628950778</v>
      </c>
      <c r="C39" s="26">
        <f t="shared" si="4"/>
        <v>619.64039273070171</v>
      </c>
      <c r="D39" s="27">
        <f t="shared" si="5"/>
        <v>0.68109917236712658</v>
      </c>
      <c r="E39" s="27">
        <f>IF(A39&gt;200,"",IF($C$1='Adj-Mixed'!$A$21,VLOOKUP(A39,'337'!$A$7:$AB$188,8,FALSE),IF($C$1='Adj-Mixed'!$A$20,VLOOKUP(A39,'337'!$A$7:$AB$188,17,FALSE),IF($C$1='Adj-Mixed'!$A$19,VLOOKUP(A39,'337'!$A$7:$AB$188,26,FALSE)))))</f>
        <v>1.4682149686433319</v>
      </c>
      <c r="F39" s="27">
        <f t="shared" si="1"/>
        <v>0.90976529978324905</v>
      </c>
      <c r="G39" s="28">
        <f t="shared" si="8"/>
        <v>17.990707792559132</v>
      </c>
      <c r="I39" s="136">
        <f t="shared" si="6"/>
        <v>21.244425161530856</v>
      </c>
      <c r="J39" s="26">
        <f>IF(A39&gt;200,"",C39*'Adj-Barrows'!$C$6)</f>
        <v>683.08190753986833</v>
      </c>
      <c r="K39" s="27">
        <f>IF(A39&gt;200,"",D39*'Adj-Barrows'!$C$7)</f>
        <v>0.60468642316752075</v>
      </c>
      <c r="L39" s="1">
        <f t="shared" si="2"/>
        <v>1.65374971503695</v>
      </c>
      <c r="M39" s="27">
        <f t="shared" si="3"/>
        <v>1.1296465099409534</v>
      </c>
      <c r="N39" s="31">
        <f t="shared" si="9"/>
        <v>22.338882648166418</v>
      </c>
    </row>
    <row r="40" spans="1:14" x14ac:dyDescent="0.25">
      <c r="A40" s="121">
        <f t="shared" si="10"/>
        <v>58</v>
      </c>
      <c r="B40" s="28">
        <f>IF(A40&gt;200,"",IF($C$1='Adj-Mixed'!$A$21,VLOOKUP(A40,'337'!$A$6:$AB$188,2,FALSE),IF($C$1='Adj-Mixed'!$A$20,VLOOKUP(A40,'337'!$A$6:$AB$188,11,FALSE),IF($C$1='Adj-Mixed'!$A$19,VLOOKUP(A40,'337'!$A$6:$AB$188,20,FALSE)))))</f>
        <v>20.422934809435009</v>
      </c>
      <c r="C40" s="26">
        <f t="shared" si="4"/>
        <v>633.51518048423122</v>
      </c>
      <c r="D40" s="27">
        <f t="shared" si="5"/>
        <v>0.67421188738181093</v>
      </c>
      <c r="E40" s="27">
        <f>IF(A40&gt;200,"",IF($C$1='Adj-Mixed'!$A$21,VLOOKUP(A40,'337'!$A$7:$AB$188,8,FALSE),IF($C$1='Adj-Mixed'!$A$20,VLOOKUP(A40,'337'!$A$7:$AB$188,17,FALSE),IF($C$1='Adj-Mixed'!$A$19,VLOOKUP(A40,'337'!$A$7:$AB$188,26,FALSE)))))</f>
        <v>1.4832132430701166</v>
      </c>
      <c r="F40" s="27">
        <f t="shared" si="1"/>
        <v>0.9396381053801669</v>
      </c>
      <c r="G40" s="28">
        <f t="shared" si="8"/>
        <v>18.930345897939297</v>
      </c>
      <c r="H40" s="1"/>
      <c r="I40" s="136">
        <f t="shared" si="6"/>
        <v>21.942802418755118</v>
      </c>
      <c r="J40" s="26">
        <f>IF(A40&gt;200,"",C40*'Adj-Barrows'!$C$6)</f>
        <v>698.37725722426308</v>
      </c>
      <c r="K40" s="27">
        <f>IF(A40&gt;200,"",D40*'Adj-Barrows'!$C$7)</f>
        <v>0.59857182504133033</v>
      </c>
      <c r="L40" s="1">
        <f t="shared" si="2"/>
        <v>1.6706432848404646</v>
      </c>
      <c r="M40" s="27">
        <f t="shared" si="3"/>
        <v>1.1667392750670169</v>
      </c>
      <c r="N40" s="31">
        <f t="shared" si="9"/>
        <v>23.505621923233434</v>
      </c>
    </row>
    <row r="41" spans="1:14" x14ac:dyDescent="0.25">
      <c r="A41" s="26">
        <f>A40+1</f>
        <v>59</v>
      </c>
      <c r="B41" s="28">
        <f>IF(A41&gt;200,"",IF($C$1='Adj-Mixed'!$A$21,VLOOKUP(A41,'337'!$A$6:$AB$188,2,FALSE),IF($C$1='Adj-Mixed'!$A$20,VLOOKUP(A41,'337'!$A$6:$AB$188,11,FALSE),IF($C$1='Adj-Mixed'!$A$19,VLOOKUP(A41,'337'!$A$6:$AB$188,20,FALSE)))))</f>
        <v>21.070635457443586</v>
      </c>
      <c r="C41" s="26">
        <f t="shared" si="4"/>
        <v>647.70064800857699</v>
      </c>
      <c r="D41" s="27">
        <f t="shared" si="5"/>
        <v>0.66806947779042103</v>
      </c>
      <c r="E41" s="27">
        <f>IF(A41&gt;200,"",IF($C$1='Adj-Mixed'!$A$21,VLOOKUP(A41,'337'!$A$7:$AB$188,8,FALSE),IF($C$1='Adj-Mixed'!$A$20,VLOOKUP(A41,'337'!$A$7:$AB$188,17,FALSE),IF($C$1='Adj-Mixed'!$A$19,VLOOKUP(A41,'337'!$A$7:$AB$188,26,FALSE)))))</f>
        <v>1.4968503026173399</v>
      </c>
      <c r="F41" s="27">
        <f>IF(A41&gt;200,"",(E41*C41)/1000)</f>
        <v>0.96951091097708564</v>
      </c>
      <c r="G41" s="28">
        <f t="shared" si="8"/>
        <v>19.899856808916383</v>
      </c>
      <c r="H41" s="1"/>
      <c r="I41" s="136">
        <f t="shared" si="6"/>
        <v>22.65681751419902</v>
      </c>
      <c r="J41" s="26">
        <f>IF(A41&gt;200,"",C41*'Adj-Barrows'!$C$6)</f>
        <v>714.0150954438999</v>
      </c>
      <c r="K41" s="27">
        <f>IF(A41&gt;200,"",D41*'Adj-Barrows'!$C$7)</f>
        <v>0.59311853448374707</v>
      </c>
      <c r="L41" s="1">
        <f t="shared" si="2"/>
        <v>1.6860036263584384</v>
      </c>
      <c r="M41" s="27">
        <f t="shared" si="3"/>
        <v>1.2038320401930815</v>
      </c>
      <c r="N41" s="31">
        <f t="shared" si="9"/>
        <v>24.709453963426515</v>
      </c>
    </row>
    <row r="42" spans="1:14" x14ac:dyDescent="0.25">
      <c r="A42" s="26">
        <f t="shared" ref="A42:A105" si="11">A41+1</f>
        <v>60</v>
      </c>
      <c r="B42" s="28">
        <f>IF(A42&gt;200,"",IF($C$1='Adj-Mixed'!$A$21,VLOOKUP(A42,'337'!$A$6:$AB$188,2,FALSE),IF($C$1='Adj-Mixed'!$A$20,VLOOKUP(A42,'337'!$A$6:$AB$188,11,FALSE),IF($C$1='Adj-Mixed'!$A$19,VLOOKUP(A42,'337'!$A$6:$AB$188,20,FALSE)))))</f>
        <v>21.732468268793319</v>
      </c>
      <c r="C42" s="70">
        <f>IF(A42&gt;200,"",(B42-B41)*1000)</f>
        <v>661.83281134973276</v>
      </c>
      <c r="D42" s="146">
        <f t="shared" si="5"/>
        <v>0.666827877094472</v>
      </c>
      <c r="E42" s="146">
        <f>IF(A42&gt;200,"",IF($C$1='Adj-Mixed'!$A$21,VLOOKUP(A42,'337'!$A$7:$AB$188,8,FALSE),IF($C$1='Adj-Mixed'!$A$20,VLOOKUP(A42,'337'!$A$7:$AB$188,17,FALSE),IF($C$1='Adj-Mixed'!$A$19,VLOOKUP(A42,'337'!$A$7:$AB$188,26,FALSE)))))</f>
        <v>1.4996373642284397</v>
      </c>
      <c r="F42" s="146">
        <f t="shared" ref="F42:F105" si="12">IF(A42&gt;200,"",(E42*C42)/1000)</f>
        <v>0.99250921277241144</v>
      </c>
      <c r="G42" s="28">
        <f t="shared" si="8"/>
        <v>20.892366021688794</v>
      </c>
      <c r="H42" s="1"/>
      <c r="I42" s="136">
        <f t="shared" si="6"/>
        <v>23.386411686162123</v>
      </c>
      <c r="J42" s="70">
        <f>IF(A42&gt;200,"",C42*'Adj-Barrows'!$C$6)</f>
        <v>729.5941719631046</v>
      </c>
      <c r="K42" s="146">
        <f>IF(A42&gt;200,"",D42*'Adj-Barrows'!$C$7)</f>
        <v>0.5920162293947151</v>
      </c>
      <c r="L42" s="148">
        <f t="shared" si="2"/>
        <v>1.6891428821510732</v>
      </c>
      <c r="M42" s="146">
        <f t="shared" si="3"/>
        <v>1.2323888024303842</v>
      </c>
      <c r="N42" s="31">
        <f t="shared" si="9"/>
        <v>25.941842765856901</v>
      </c>
    </row>
    <row r="43" spans="1:14" x14ac:dyDescent="0.25">
      <c r="A43" s="26">
        <f t="shared" si="11"/>
        <v>61</v>
      </c>
      <c r="B43" s="28">
        <f>IF(A43&gt;200,"",IF($C$1='Adj-Mixed'!$A$21,VLOOKUP(A43,'337'!$A$6:$AB$188,2,FALSE),IF($C$1='Adj-Mixed'!$A$20,VLOOKUP(A43,'337'!$A$6:$AB$188,11,FALSE),IF($C$1='Adj-Mixed'!$A$19,VLOOKUP(A43,'337'!$A$6:$AB$188,20,FALSE)))))</f>
        <v>22.432141441209328</v>
      </c>
      <c r="C43" s="26">
        <f>IF(A43&gt;200,"",(B43-B42)*1000)</f>
        <v>699.67317241600927</v>
      </c>
      <c r="D43" s="27">
        <f t="shared" si="5"/>
        <v>0.65237117749106799</v>
      </c>
      <c r="E43" s="27">
        <f>IF(A43&gt;200,"",IF($C$1='Adj-Mixed'!$A$21,VLOOKUP(A43,'337'!$A$7:$AB$188,8,FALSE),IF($C$1='Adj-Mixed'!$A$20,VLOOKUP(A43,'337'!$A$7:$AB$188,17,FALSE),IF($C$1='Adj-Mixed'!$A$19,VLOOKUP(A43,'337'!$A$7:$AB$188,26,FALSE)))))</f>
        <v>1.5328696829401105</v>
      </c>
      <c r="F43" s="27">
        <f t="shared" si="12"/>
        <v>1.0725077939630294</v>
      </c>
      <c r="G43" s="28">
        <f t="shared" si="8"/>
        <v>21.964873815651824</v>
      </c>
      <c r="H43" s="1"/>
      <c r="I43" s="136">
        <f t="shared" si="6"/>
        <v>24.157720482159402</v>
      </c>
      <c r="J43" s="26">
        <f>IF(A43&gt;200,"",C43*'Adj-Barrows'!$C$6)</f>
        <v>771.30879599727928</v>
      </c>
      <c r="K43" s="27">
        <f>IF(A43&gt;200,"",D43*'Adj-Barrows'!$C$7)</f>
        <v>0.57918143186646664</v>
      </c>
      <c r="L43" s="1">
        <f t="shared" si="2"/>
        <v>1.7265746879650576</v>
      </c>
      <c r="M43" s="27">
        <f t="shared" si="3"/>
        <v>1.3317222437737068</v>
      </c>
      <c r="N43" s="31">
        <f t="shared" si="9"/>
        <v>27.273565009630609</v>
      </c>
    </row>
    <row r="44" spans="1:14" x14ac:dyDescent="0.25">
      <c r="A44" s="26">
        <f t="shared" si="11"/>
        <v>62</v>
      </c>
      <c r="B44" s="28">
        <f>IF(A44&gt;200,"",IF($C$1='Adj-Mixed'!$A$21,VLOOKUP(A44,'337'!$A$6:$AB$188,2,FALSE),IF($C$1='Adj-Mixed'!$A$20,VLOOKUP(A44,'337'!$A$6:$AB$188,11,FALSE),IF($C$1='Adj-Mixed'!$A$19,VLOOKUP(A44,'337'!$A$6:$AB$188,20,FALSE)))))</f>
        <v>23.142320640931892</v>
      </c>
      <c r="C44" s="26">
        <f t="shared" si="4"/>
        <v>710.17919972256391</v>
      </c>
      <c r="D44" s="27">
        <f t="shared" si="5"/>
        <v>0.6438569720193934</v>
      </c>
      <c r="E44" s="27">
        <f>IF(A44&gt;200,"",IF($C$1='Adj-Mixed'!$A$21,VLOOKUP(A44,'337'!$A$7:$AB$188,8,FALSE),IF($C$1='Adj-Mixed'!$A$20,VLOOKUP(A44,'337'!$A$7:$AB$188,17,FALSE),IF($C$1='Adj-Mixed'!$A$19,VLOOKUP(A44,'337'!$A$7:$AB$188,26,FALSE)))))</f>
        <v>1.5531399727855697</v>
      </c>
      <c r="F44" s="27">
        <f t="shared" si="12"/>
        <v>1.1030077029299805</v>
      </c>
      <c r="G44" s="28">
        <f t="shared" si="8"/>
        <v>23.067881518581803</v>
      </c>
      <c r="H44" s="1"/>
      <c r="I44" s="136">
        <f t="shared" si="6"/>
        <v>24.940610958849899</v>
      </c>
      <c r="J44" s="26">
        <f>IF(A44&gt;200,"",C44*'Adj-Barrows'!$C$6)</f>
        <v>782.89047669049739</v>
      </c>
      <c r="K44" s="27">
        <f>IF(A44&gt;200,"",D44*'Adj-Barrows'!$C$7)</f>
        <v>0.57162243801996526</v>
      </c>
      <c r="L44" s="1">
        <f t="shared" si="2"/>
        <v>1.7494064849236597</v>
      </c>
      <c r="M44" s="27">
        <f t="shared" si="3"/>
        <v>1.3695936769073314</v>
      </c>
      <c r="N44" s="31">
        <f t="shared" si="9"/>
        <v>28.643158686537941</v>
      </c>
    </row>
    <row r="45" spans="1:14" x14ac:dyDescent="0.25">
      <c r="A45" s="26">
        <f t="shared" si="11"/>
        <v>63</v>
      </c>
      <c r="B45" s="28">
        <f>IF(A45&gt;200,"",IF($C$1='Adj-Mixed'!$A$21,VLOOKUP(A45,'337'!$A$6:$AB$188,2,FALSE),IF($C$1='Adj-Mixed'!$A$20,VLOOKUP(A45,'337'!$A$6:$AB$188,11,FALSE),IF($C$1='Adj-Mixed'!$A$19,VLOOKUP(A45,'337'!$A$6:$AB$188,20,FALSE)))))</f>
        <v>23.862867540511832</v>
      </c>
      <c r="C45" s="26">
        <f t="shared" si="4"/>
        <v>720.54689957994003</v>
      </c>
      <c r="D45" s="27">
        <f t="shared" si="5"/>
        <v>0.63560185899004595</v>
      </c>
      <c r="E45" s="27">
        <f>IF(A45&gt;200,"",IF($C$1='Adj-Mixed'!$A$21,VLOOKUP(A45,'337'!$A$7:$AB$188,8,FALSE),IF($C$1='Adj-Mixed'!$A$20,VLOOKUP(A45,'337'!$A$7:$AB$188,17,FALSE),IF($C$1='Adj-Mixed'!$A$19,VLOOKUP(A45,'337'!$A$7:$AB$188,26,FALSE)))))</f>
        <v>1.5733119496990975</v>
      </c>
      <c r="F45" s="27">
        <f t="shared" si="12"/>
        <v>1.1336450474277553</v>
      </c>
      <c r="G45" s="28">
        <f t="shared" si="8"/>
        <v>24.201526566009559</v>
      </c>
      <c r="H45" s="1"/>
      <c r="I45" s="136">
        <f t="shared" si="6"/>
        <v>25.734930626210435</v>
      </c>
      <c r="J45" s="26">
        <f>IF(A45&gt;200,"",C45*'Adj-Barrows'!$C$6)</f>
        <v>794.31966736053687</v>
      </c>
      <c r="K45" s="27">
        <f>IF(A45&gt;200,"",D45*'Adj-Barrows'!$C$7)</f>
        <v>0.56429346894603283</v>
      </c>
      <c r="L45" s="1">
        <f t="shared" si="2"/>
        <v>1.7721275453847876</v>
      </c>
      <c r="M45" s="27">
        <f t="shared" si="3"/>
        <v>1.4076357623704892</v>
      </c>
      <c r="N45" s="31">
        <f t="shared" si="9"/>
        <v>30.05079444890843</v>
      </c>
    </row>
    <row r="46" spans="1:14" x14ac:dyDescent="0.25">
      <c r="A46" s="26">
        <f t="shared" si="11"/>
        <v>64</v>
      </c>
      <c r="B46" s="28">
        <f>IF(A46&gt;200,"",IF($C$1='Adj-Mixed'!$A$21,VLOOKUP(A46,'337'!$A$6:$AB$188,2,FALSE),IF($C$1='Adj-Mixed'!$A$20,VLOOKUP(A46,'337'!$A$6:$AB$188,11,FALSE),IF($C$1='Adj-Mixed'!$A$19,VLOOKUP(A46,'337'!$A$6:$AB$188,20,FALSE)))))</f>
        <v>24.593640955825403</v>
      </c>
      <c r="C46" s="26">
        <f t="shared" si="4"/>
        <v>730.77341531357115</v>
      </c>
      <c r="D46" s="27">
        <f t="shared" si="5"/>
        <v>0.62759793421497501</v>
      </c>
      <c r="E46" s="27">
        <f>IF(A46&gt;200,"",IF($C$1='Adj-Mixed'!$A$21,VLOOKUP(A46,'337'!$A$7:$AB$188,8,FALSE),IF($C$1='Adj-Mixed'!$A$20,VLOOKUP(A46,'337'!$A$7:$AB$188,17,FALSE),IF($C$1='Adj-Mixed'!$A$19,VLOOKUP(A46,'337'!$A$7:$AB$188,26,FALSE)))))</f>
        <v>1.5933768189515165</v>
      </c>
      <c r="F46" s="27">
        <f t="shared" si="12"/>
        <v>1.1643974198666736</v>
      </c>
      <c r="G46" s="28">
        <f t="shared" si="8"/>
        <v>25.365923985876233</v>
      </c>
      <c r="H46" s="1"/>
      <c r="I46" s="136">
        <f t="shared" si="6"/>
        <v>26.540523845064332</v>
      </c>
      <c r="J46" s="26">
        <f>IF(A46&gt;200,"",C46*'Adj-Barrows'!$C$6)</f>
        <v>805.59321885389659</v>
      </c>
      <c r="K46" s="27">
        <f>IF(A46&gt;200,"",D46*'Adj-Barrows'!$C$7)</f>
        <v>0.5571875072301804</v>
      </c>
      <c r="L46" s="1">
        <f t="shared" si="2"/>
        <v>1.7947279632507784</v>
      </c>
      <c r="M46" s="27">
        <f t="shared" si="3"/>
        <v>1.4458206768822923</v>
      </c>
      <c r="N46" s="31">
        <f t="shared" si="9"/>
        <v>31.496615125790722</v>
      </c>
    </row>
    <row r="47" spans="1:14" x14ac:dyDescent="0.25">
      <c r="A47" s="26">
        <f t="shared" si="11"/>
        <v>65</v>
      </c>
      <c r="B47" s="28">
        <f>IF(A47&gt;200,"",IF($C$1='Adj-Mixed'!$A$21,VLOOKUP(A47,'337'!$A$6:$AB$188,2,FALSE),IF($C$1='Adj-Mixed'!$A$20,VLOOKUP(A47,'337'!$A$6:$AB$188,11,FALSE),IF($C$1='Adj-Mixed'!$A$19,VLOOKUP(A47,'337'!$A$6:$AB$188,20,FALSE)))))</f>
        <v>25.334496961557871</v>
      </c>
      <c r="C47" s="26">
        <f t="shared" si="4"/>
        <v>740.85600573246779</v>
      </c>
      <c r="D47" s="27">
        <f t="shared" si="5"/>
        <v>0.61983744165813159</v>
      </c>
      <c r="E47" s="27">
        <f>IF(A47&gt;200,"",IF($C$1='Adj-Mixed'!$A$21,VLOOKUP(A47,'337'!$A$7:$AB$188,8,FALSE),IF($C$1='Adj-Mixed'!$A$20,VLOOKUP(A47,'337'!$A$7:$AB$188,17,FALSE),IF($C$1='Adj-Mixed'!$A$19,VLOOKUP(A47,'337'!$A$7:$AB$188,26,FALSE)))))</f>
        <v>1.6133262252194589</v>
      </c>
      <c r="F47" s="27">
        <f t="shared" si="12"/>
        <v>1.195242423159528</v>
      </c>
      <c r="G47" s="28">
        <f t="shared" si="8"/>
        <v>26.56116640903576</v>
      </c>
      <c r="H47" s="1"/>
      <c r="I47" s="136">
        <f t="shared" si="6"/>
        <v>27.357231954388702</v>
      </c>
      <c r="J47" s="26">
        <f>IF(A47&gt;200,"",C47*'Adj-Barrows'!$C$6)</f>
        <v>816.70810932437041</v>
      </c>
      <c r="K47" s="27">
        <f>IF(A47&gt;200,"",D47*'Adj-Barrows'!$C$7)</f>
        <v>0.55029766698869731</v>
      </c>
      <c r="L47" s="1">
        <f t="shared" si="2"/>
        <v>1.8171983273564183</v>
      </c>
      <c r="M47" s="27">
        <f t="shared" si="3"/>
        <v>1.4841206102026687</v>
      </c>
      <c r="N47" s="31">
        <f t="shared" si="9"/>
        <v>32.980735735993392</v>
      </c>
    </row>
    <row r="48" spans="1:14" x14ac:dyDescent="0.25">
      <c r="A48" s="26">
        <f t="shared" si="11"/>
        <v>66</v>
      </c>
      <c r="B48" s="28">
        <f>IF(A48&gt;200,"",IF($C$1='Adj-Mixed'!$A$21,VLOOKUP(A48,'337'!$A$6:$AB$188,2,FALSE),IF($C$1='Adj-Mixed'!$A$20,VLOOKUP(A48,'337'!$A$6:$AB$188,11,FALSE),IF($C$1='Adj-Mixed'!$A$19,VLOOKUP(A48,'337'!$A$6:$AB$188,20,FALSE)))))</f>
        <v>26.085289006771212</v>
      </c>
      <c r="C48" s="26">
        <f t="shared" si="4"/>
        <v>750.79204521334123</v>
      </c>
      <c r="D48" s="27">
        <f t="shared" si="5"/>
        <v>0.61231278302905834</v>
      </c>
      <c r="E48" s="27">
        <f>IF(A48&gt;200,"",IF($C$1='Adj-Mixed'!$A$21,VLOOKUP(A48,'337'!$A$7:$AB$188,8,FALSE),IF($C$1='Adj-Mixed'!$A$20,VLOOKUP(A48,'337'!$A$7:$AB$188,17,FALSE),IF($C$1='Adj-Mixed'!$A$19,VLOOKUP(A48,'337'!$A$7:$AB$188,26,FALSE)))))</f>
        <v>1.6331522511306829</v>
      </c>
      <c r="F48" s="27">
        <f t="shared" si="12"/>
        <v>1.2261577187711776</v>
      </c>
      <c r="G48" s="28">
        <f t="shared" si="8"/>
        <v>27.787324127806937</v>
      </c>
      <c r="H48" s="1"/>
      <c r="I48" s="136">
        <f t="shared" si="6"/>
        <v>28.184893398714486</v>
      </c>
      <c r="J48" s="26">
        <f>IF(A48&gt;200,"",C48*'Adj-Barrows'!$C$6)</f>
        <v>827.66144432578335</v>
      </c>
      <c r="K48" s="27">
        <f>IF(A48&gt;200,"",D48*'Adj-Barrows'!$C$7)</f>
        <v>0.5436172023859327</v>
      </c>
      <c r="L48" s="1">
        <f t="shared" si="2"/>
        <v>1.8395297198304357</v>
      </c>
      <c r="M48" s="27">
        <f t="shared" si="3"/>
        <v>1.5225078247950621</v>
      </c>
      <c r="N48" s="31">
        <f t="shared" si="9"/>
        <v>34.503243560788455</v>
      </c>
    </row>
    <row r="49" spans="1:14" x14ac:dyDescent="0.25">
      <c r="A49" s="26">
        <f t="shared" si="11"/>
        <v>67</v>
      </c>
      <c r="B49" s="28">
        <f>IF(A49&gt;200,"",IF($C$1='Adj-Mixed'!$A$21,VLOOKUP(A49,'337'!$A$6:$AB$188,2,FALSE),IF($C$1='Adj-Mixed'!$A$20,VLOOKUP(A49,'337'!$A$6:$AB$188,11,FALSE),IF($C$1='Adj-Mixed'!$A$19,VLOOKUP(A49,'337'!$A$6:$AB$188,20,FALSE)))))</f>
        <v>26.845868030481189</v>
      </c>
      <c r="C49" s="26">
        <f t="shared" si="4"/>
        <v>760.57902370997613</v>
      </c>
      <c r="D49" s="27">
        <f t="shared" si="5"/>
        <v>0.605016524900859</v>
      </c>
      <c r="E49" s="27">
        <f>IF(A49&gt;200,"",IF($C$1='Adj-Mixed'!$A$21,VLOOKUP(A49,'337'!$A$7:$AB$188,8,FALSE),IF($C$1='Adj-Mixed'!$A$20,VLOOKUP(A49,'337'!$A$7:$AB$188,17,FALSE),IF($C$1='Adj-Mixed'!$A$19,VLOOKUP(A49,'337'!$A$7:$AB$188,26,FALSE)))))</f>
        <v>1.652847416298034</v>
      </c>
      <c r="F49" s="27">
        <f t="shared" si="12"/>
        <v>1.2571210742295151</v>
      </c>
      <c r="G49" s="28">
        <f t="shared" si="8"/>
        <v>29.044445202036453</v>
      </c>
      <c r="H49" s="1"/>
      <c r="I49" s="136">
        <f t="shared" si="6"/>
        <v>29.023343855536812</v>
      </c>
      <c r="J49" s="26">
        <f>IF(A49&gt;200,"",C49*'Adj-Barrows'!$C$6)</f>
        <v>838.45045682232421</v>
      </c>
      <c r="K49" s="27">
        <f>IF(A49&gt;200,"",D49*'Adj-Barrows'!$C$7)</f>
        <v>0.53713951395369697</v>
      </c>
      <c r="L49" s="1">
        <f t="shared" si="2"/>
        <v>1.8617137150073881</v>
      </c>
      <c r="M49" s="27">
        <f t="shared" si="3"/>
        <v>1.5609547148203309</v>
      </c>
      <c r="N49" s="31">
        <f t="shared" si="9"/>
        <v>36.064198275608788</v>
      </c>
    </row>
    <row r="50" spans="1:14" x14ac:dyDescent="0.25">
      <c r="A50" s="26">
        <f t="shared" si="11"/>
        <v>68</v>
      </c>
      <c r="B50" s="28">
        <f>IF(A50&gt;200,"",IF($C$1='Adj-Mixed'!$A$21,VLOOKUP(A50,'337'!$A$6:$AB$188,2,FALSE),IF($C$1='Adj-Mixed'!$A$20,VLOOKUP(A50,'337'!$A$6:$AB$188,11,FALSE),IF($C$1='Adj-Mixed'!$A$19,VLOOKUP(A50,'337'!$A$6:$AB$188,20,FALSE)))))</f>
        <v>27.61608257716707</v>
      </c>
      <c r="C50" s="26">
        <f t="shared" si="4"/>
        <v>770.2145466858816</v>
      </c>
      <c r="D50" s="27">
        <f t="shared" si="5"/>
        <v>0.59794140375341454</v>
      </c>
      <c r="E50" s="27">
        <f>IF(A50&gt;200,"",IF($C$1='Adj-Mixed'!$A$21,VLOOKUP(A50,'337'!$A$7:$AB$188,8,FALSE),IF($C$1='Adj-Mixed'!$A$20,VLOOKUP(A50,'337'!$A$7:$AB$188,17,FALSE),IF($C$1='Adj-Mixed'!$A$19,VLOOKUP(A50,'337'!$A$7:$AB$188,26,FALSE)))))</f>
        <v>1.6724046766502068</v>
      </c>
      <c r="F50" s="27">
        <f t="shared" si="12"/>
        <v>1.2881104099014875</v>
      </c>
      <c r="G50" s="28">
        <f t="shared" si="8"/>
        <v>30.332555611937941</v>
      </c>
      <c r="H50" s="1"/>
      <c r="I50" s="136">
        <f t="shared" si="6"/>
        <v>29.872416362651112</v>
      </c>
      <c r="J50" s="26">
        <f>IF(A50&gt;200,"",C50*'Adj-Barrows'!$C$6)</f>
        <v>849.07250711430095</v>
      </c>
      <c r="K50" s="27">
        <f>IF(A50&gt;200,"",D50*'Adj-Barrows'!$C$7)</f>
        <v>0.5308581530686789</v>
      </c>
      <c r="L50" s="1">
        <f t="shared" si="2"/>
        <v>1.8837423786738501</v>
      </c>
      <c r="M50" s="27">
        <f t="shared" si="3"/>
        <v>1.5994338642180628</v>
      </c>
      <c r="N50" s="31">
        <f t="shared" si="9"/>
        <v>37.663632139826852</v>
      </c>
    </row>
    <row r="51" spans="1:14" x14ac:dyDescent="0.25">
      <c r="A51" s="26">
        <f t="shared" si="11"/>
        <v>69</v>
      </c>
      <c r="B51" s="28">
        <f>IF(A51&gt;200,"",IF($C$1='Adj-Mixed'!$A$21,VLOOKUP(A51,'337'!$A$6:$AB$188,2,FALSE),IF($C$1='Adj-Mixed'!$A$20,VLOOKUP(A51,'337'!$A$6:$AB$188,11,FALSE),IF($C$1='Adj-Mixed'!$A$19,VLOOKUP(A51,'337'!$A$6:$AB$188,20,FALSE)))))</f>
        <v>28.395778912134052</v>
      </c>
      <c r="C51" s="26">
        <f t="shared" si="4"/>
        <v>779.69633496698168</v>
      </c>
      <c r="D51" s="27">
        <f t="shared" si="5"/>
        <v>0.59108032928194298</v>
      </c>
      <c r="E51" s="27">
        <f>IF(A51&gt;200,"",IF($C$1='Adj-Mixed'!$A$21,VLOOKUP(A51,'337'!$A$7:$AB$188,8,FALSE),IF($C$1='Adj-Mixed'!$A$20,VLOOKUP(A51,'337'!$A$7:$AB$188,17,FALSE),IF($C$1='Adj-Mixed'!$A$19,VLOOKUP(A51,'337'!$A$7:$AB$188,26,FALSE)))))</f>
        <v>1.6918174238936718</v>
      </c>
      <c r="F51" s="27">
        <f t="shared" si="12"/>
        <v>1.3191038448431764</v>
      </c>
      <c r="G51" s="28">
        <f t="shared" si="8"/>
        <v>31.651659456781118</v>
      </c>
      <c r="H51" s="1"/>
      <c r="I51" s="136">
        <f t="shared" si="6"/>
        <v>30.731941445326861</v>
      </c>
      <c r="J51" s="26">
        <f>IF(A51&gt;200,"",C51*'Adj-Barrows'!$C$6)</f>
        <v>859.52508267574899</v>
      </c>
      <c r="K51" s="27">
        <f>IF(A51&gt;200,"",D51*'Adj-Barrows'!$C$7)</f>
        <v>0.52476682488981596</v>
      </c>
      <c r="L51" s="1">
        <f t="shared" si="2"/>
        <v>1.9056082674623489</v>
      </c>
      <c r="M51" s="27">
        <f t="shared" si="3"/>
        <v>1.6379181036381663</v>
      </c>
      <c r="N51" s="31">
        <f t="shared" si="9"/>
        <v>39.301550243465016</v>
      </c>
    </row>
    <row r="52" spans="1:14" x14ac:dyDescent="0.25">
      <c r="A52" s="26">
        <f t="shared" si="11"/>
        <v>70</v>
      </c>
      <c r="B52" s="28">
        <f>IF(A52&gt;200,"",IF($C$1='Adj-Mixed'!$A$21,VLOOKUP(A52,'337'!$A$6:$AB$188,2,FALSE),IF($C$1='Adj-Mixed'!$A$20,VLOOKUP(A52,'337'!$A$6:$AB$188,11,FALSE),IF($C$1='Adj-Mixed'!$A$19,VLOOKUP(A52,'337'!$A$6:$AB$188,20,FALSE)))))</f>
        <v>29.184801136647451</v>
      </c>
      <c r="C52" s="26">
        <f t="shared" si="4"/>
        <v>789.02222451339912</v>
      </c>
      <c r="D52" s="27">
        <f t="shared" si="5"/>
        <v>0.58442638626188548</v>
      </c>
      <c r="E52" s="27">
        <f>IF(A52&gt;200,"",IF($C$1='Adj-Mixed'!$A$21,VLOOKUP(A52,'337'!$A$7:$AB$188,8,FALSE),IF($C$1='Adj-Mixed'!$A$20,VLOOKUP(A52,'337'!$A$7:$AB$188,17,FALSE),IF($C$1='Adj-Mixed'!$A$19,VLOOKUP(A52,'337'!$A$7:$AB$188,26,FALSE)))))</f>
        <v>1.7110794849565418</v>
      </c>
      <c r="F52" s="27">
        <f t="shared" si="12"/>
        <v>1.3500797415396519</v>
      </c>
      <c r="G52" s="28">
        <f t="shared" si="8"/>
        <v>33.00173919832077</v>
      </c>
      <c r="H52" s="1"/>
      <c r="I52" s="136">
        <f t="shared" si="6"/>
        <v>31.60174724322971</v>
      </c>
      <c r="J52" s="26">
        <f>IF(A52&gt;200,"",C52*'Adj-Barrows'!$C$6)</f>
        <v>869.80579790284935</v>
      </c>
      <c r="K52" s="27">
        <f>IF(A52&gt;200,"",D52*'Adj-Barrows'!$C$7)</f>
        <v>0.51885939001395864</v>
      </c>
      <c r="L52" s="1">
        <f t="shared" si="2"/>
        <v>1.9273044282249521</v>
      </c>
      <c r="M52" s="27">
        <f t="shared" si="3"/>
        <v>1.6763805659938995</v>
      </c>
      <c r="N52" s="31">
        <f t="shared" si="9"/>
        <v>40.977930809458918</v>
      </c>
    </row>
    <row r="53" spans="1:14" x14ac:dyDescent="0.25">
      <c r="A53" s="26">
        <f t="shared" si="11"/>
        <v>71</v>
      </c>
      <c r="B53" s="28">
        <f>IF(A53&gt;200,"",IF($C$1='Adj-Mixed'!$A$21,VLOOKUP(A53,'337'!$A$6:$AB$188,2,FALSE),IF($C$1='Adj-Mixed'!$A$20,VLOOKUP(A53,'337'!$A$6:$AB$188,11,FALSE),IF($C$1='Adj-Mixed'!$A$19,VLOOKUP(A53,'337'!$A$6:$AB$188,20,FALSE)))))</f>
        <v>29.982991302756357</v>
      </c>
      <c r="C53" s="26">
        <f t="shared" si="4"/>
        <v>798.19016610890617</v>
      </c>
      <c r="D53" s="27">
        <f t="shared" si="5"/>
        <v>0.57797283521640408</v>
      </c>
      <c r="E53" s="27">
        <f>IF(A53&gt;200,"",IF($C$1='Adj-Mixed'!$A$21,VLOOKUP(A53,'337'!$A$7:$AB$188,8,FALSE),IF($C$1='Adj-Mixed'!$A$20,VLOOKUP(A53,'337'!$A$7:$AB$188,17,FALSE),IF($C$1='Adj-Mixed'!$A$19,VLOOKUP(A53,'337'!$A$7:$AB$188,26,FALSE)))))</f>
        <v>1.7301851212878905</v>
      </c>
      <c r="F53" s="27">
        <f t="shared" si="12"/>
        <v>1.3810167493599392</v>
      </c>
      <c r="G53" s="28">
        <f t="shared" si="8"/>
        <v>34.382755947680707</v>
      </c>
      <c r="H53" s="1"/>
      <c r="I53" s="136">
        <f t="shared" si="6"/>
        <v>32.481659637001293</v>
      </c>
      <c r="J53" s="26">
        <f>IF(A53&gt;200,"",C53*'Adj-Barrows'!$C$6)</f>
        <v>879.91239377158377</v>
      </c>
      <c r="K53" s="27">
        <f>IF(A53&gt;200,"",D53*'Adj-Barrows'!$C$7)</f>
        <v>0.51312986506848168</v>
      </c>
      <c r="L53" s="1">
        <f t="shared" si="2"/>
        <v>1.9488243972440411</v>
      </c>
      <c r="M53" s="27">
        <f t="shared" si="3"/>
        <v>1.7147947404194683</v>
      </c>
      <c r="N53" s="31">
        <f t="shared" si="9"/>
        <v>42.692725549878389</v>
      </c>
    </row>
    <row r="54" spans="1:14" x14ac:dyDescent="0.25">
      <c r="A54" s="26">
        <f t="shared" si="11"/>
        <v>72</v>
      </c>
      <c r="B54" s="28">
        <f>IF(A54&gt;200,"",IF($C$1='Adj-Mixed'!$A$21,VLOOKUP(A54,'337'!$A$6:$AB$188,2,FALSE),IF($C$1='Adj-Mixed'!$A$20,VLOOKUP(A54,'337'!$A$6:$AB$188,11,FALSE),IF($C$1='Adj-Mixed'!$A$19,VLOOKUP(A54,'337'!$A$6:$AB$188,20,FALSE)))))</f>
        <v>30.790189527722926</v>
      </c>
      <c r="C54" s="26">
        <f t="shared" si="4"/>
        <v>807.19822496656946</v>
      </c>
      <c r="D54" s="27">
        <f t="shared" si="5"/>
        <v>0.57171311209680109</v>
      </c>
      <c r="E54" s="27">
        <f>IF(A54&gt;200,"",IF($C$1='Adj-Mixed'!$A$21,VLOOKUP(A54,'337'!$A$7:$AB$188,8,FALSE),IF($C$1='Adj-Mixed'!$A$20,VLOOKUP(A54,'337'!$A$7:$AB$188,17,FALSE),IF($C$1='Adj-Mixed'!$A$19,VLOOKUP(A54,'337'!$A$7:$AB$188,26,FALSE)))))</f>
        <v>1.749129027900767</v>
      </c>
      <c r="F54" s="27">
        <f t="shared" si="12"/>
        <v>1.4118938465590001</v>
      </c>
      <c r="G54" s="28">
        <f t="shared" si="8"/>
        <v>35.79464979423971</v>
      </c>
      <c r="H54" s="1"/>
      <c r="I54" s="136">
        <f t="shared" si="6"/>
        <v>33.371502374404294</v>
      </c>
      <c r="J54" s="26">
        <f>IF(A54&gt;200,"",C54*'Adj-Barrows'!$C$6)</f>
        <v>889.84273740300398</v>
      </c>
      <c r="K54" s="27">
        <f>IF(A54&gt;200,"",D54*'Adj-Barrows'!$C$7)</f>
        <v>0.50757242242755674</v>
      </c>
      <c r="L54" s="1">
        <f t="shared" si="2"/>
        <v>1.9701621991543974</v>
      </c>
      <c r="M54" s="27">
        <f t="shared" si="3"/>
        <v>1.7531345244234715</v>
      </c>
      <c r="N54" s="31">
        <f t="shared" si="9"/>
        <v>44.445860074301862</v>
      </c>
    </row>
    <row r="55" spans="1:14" x14ac:dyDescent="0.25">
      <c r="A55" s="26">
        <f t="shared" si="11"/>
        <v>73</v>
      </c>
      <c r="B55" s="28">
        <f>IF(A55&gt;200,"",IF($C$1='Adj-Mixed'!$A$21,VLOOKUP(A55,'337'!$A$6:$AB$188,2,FALSE),IF($C$1='Adj-Mixed'!$A$20,VLOOKUP(A55,'337'!$A$6:$AB$188,11,FALSE),IF($C$1='Adj-Mixed'!$A$19,VLOOKUP(A55,'337'!$A$6:$AB$188,20,FALSE)))))</f>
        <v>31.606234107973862</v>
      </c>
      <c r="C55" s="26">
        <f t="shared" si="4"/>
        <v>816.04458025093504</v>
      </c>
      <c r="D55" s="27">
        <f t="shared" si="5"/>
        <v>0.56564082715417174</v>
      </c>
      <c r="E55" s="27">
        <f>IF(A55&gt;200,"",IF($C$1='Adj-Mixed'!$A$21,VLOOKUP(A55,'337'!$A$7:$AB$188,8,FALSE),IF($C$1='Adj-Mixed'!$A$20,VLOOKUP(A55,'337'!$A$7:$AB$188,17,FALSE),IF($C$1='Adj-Mixed'!$A$19,VLOOKUP(A55,'337'!$A$7:$AB$188,26,FALSE)))))</f>
        <v>1.7679063320643911</v>
      </c>
      <c r="F55" s="27">
        <f t="shared" si="12"/>
        <v>1.4426903806724563</v>
      </c>
      <c r="G55" s="28">
        <f t="shared" si="8"/>
        <v>37.23734017491217</v>
      </c>
      <c r="H55" s="1"/>
      <c r="I55" s="136">
        <f t="shared" si="6"/>
        <v>34.27109719594079</v>
      </c>
      <c r="J55" s="26">
        <f>IF(A55&gt;200,"",C55*'Adj-Barrows'!$C$6)</f>
        <v>899.59482153649594</v>
      </c>
      <c r="K55" s="27">
        <f>IF(A55&gt;200,"",D55*'Adj-Barrows'!$C$7)</f>
        <v>0.50218138921039501</v>
      </c>
      <c r="L55" s="1">
        <f t="shared" si="2"/>
        <v>1.9913123454701303</v>
      </c>
      <c r="M55" s="27">
        <f t="shared" si="3"/>
        <v>1.791374274046623</v>
      </c>
      <c r="N55" s="31">
        <f t="shared" si="9"/>
        <v>46.237234348348487</v>
      </c>
    </row>
    <row r="56" spans="1:14" x14ac:dyDescent="0.25">
      <c r="A56" s="26">
        <f t="shared" si="11"/>
        <v>74</v>
      </c>
      <c r="B56" s="28">
        <f>IF(A56&gt;200,"",IF($C$1='Adj-Mixed'!$A$21,VLOOKUP(A56,'337'!$A$6:$AB$188,2,FALSE),IF($C$1='Adj-Mixed'!$A$20,VLOOKUP(A56,'337'!$A$6:$AB$188,11,FALSE),IF($C$1='Adj-Mixed'!$A$19,VLOOKUP(A56,'337'!$A$6:$AB$188,20,FALSE)))))</f>
        <v>32.430961632489662</v>
      </c>
      <c r="C56" s="26">
        <f t="shared" si="4"/>
        <v>824.72752451580072</v>
      </c>
      <c r="D56" s="27">
        <f t="shared" si="5"/>
        <v>0.5597497631539623</v>
      </c>
      <c r="E56" s="27">
        <f>IF(A56&gt;200,"",IF($C$1='Adj-Mixed'!$A$21,VLOOKUP(A56,'337'!$A$7:$AB$188,8,FALSE),IF($C$1='Adj-Mixed'!$A$20,VLOOKUP(A56,'337'!$A$7:$AB$188,17,FALSE),IF($C$1='Adj-Mixed'!$A$19,VLOOKUP(A56,'337'!$A$7:$AB$188,26,FALSE)))))</f>
        <v>1.7865125915648568</v>
      </c>
      <c r="F56" s="27">
        <f t="shared" si="12"/>
        <v>1.473386107157592</v>
      </c>
      <c r="G56" s="28">
        <f t="shared" si="8"/>
        <v>38.710726282069764</v>
      </c>
      <c r="H56" s="1"/>
      <c r="I56" s="136">
        <f t="shared" si="6"/>
        <v>35.180263959850777</v>
      </c>
      <c r="J56" s="26">
        <f>IF(A56&gt;200,"",C56*'Adj-Barrows'!$C$6)</f>
        <v>909.16676390998884</v>
      </c>
      <c r="K56" s="27">
        <f>IF(A56&gt;200,"",D56*'Adj-Barrows'!$C$7)</f>
        <v>0.49695124569611476</v>
      </c>
      <c r="L56" s="1">
        <f t="shared" si="2"/>
        <v>2.0122698326255914</v>
      </c>
      <c r="M56" s="27">
        <f t="shared" si="3"/>
        <v>1.8294888518419039</v>
      </c>
      <c r="N56" s="31">
        <f t="shared" si="9"/>
        <v>48.066723200190388</v>
      </c>
    </row>
    <row r="57" spans="1:14" x14ac:dyDescent="0.25">
      <c r="A57" s="26">
        <f t="shared" si="11"/>
        <v>75</v>
      </c>
      <c r="B57" s="28">
        <f>IF(A57&gt;200,"",IF($C$1='Adj-Mixed'!$A$21,VLOOKUP(A57,'337'!$A$6:$AB$188,2,FALSE),IF($C$1='Adj-Mixed'!$A$20,VLOOKUP(A57,'337'!$A$6:$AB$188,11,FALSE),IF($C$1='Adj-Mixed'!$A$19,VLOOKUP(A57,'337'!$A$6:$AB$188,20,FALSE)))))</f>
        <v>33.264207095548002</v>
      </c>
      <c r="C57" s="26">
        <f t="shared" si="4"/>
        <v>833.24546305833996</v>
      </c>
      <c r="D57" s="27">
        <f t="shared" si="5"/>
        <v>0.55403387306215124</v>
      </c>
      <c r="E57" s="27">
        <f>IF(A57&gt;200,"",IF($C$1='Adj-Mixed'!$A$21,VLOOKUP(A57,'337'!$A$7:$AB$188,8,FALSE),IF($C$1='Adj-Mixed'!$A$20,VLOOKUP(A57,'337'!$A$7:$AB$188,17,FALSE),IF($C$1='Adj-Mixed'!$A$19,VLOOKUP(A57,'337'!$A$7:$AB$188,26,FALSE)))))</f>
        <v>1.8049437924670366</v>
      </c>
      <c r="F57" s="27">
        <f t="shared" si="12"/>
        <v>1.5039612261484723</v>
      </c>
      <c r="G57" s="28">
        <f t="shared" si="8"/>
        <v>40.214687508218233</v>
      </c>
      <c r="H57" s="1"/>
      <c r="I57" s="136">
        <f t="shared" si="6"/>
        <v>36.098820766398731</v>
      </c>
      <c r="J57" s="26">
        <f>IF(A57&gt;200,"",C57*'Adj-Barrows'!$C$6)</f>
        <v>918.55680654795128</v>
      </c>
      <c r="K57" s="27">
        <f>IF(A57&gt;200,"",D57*'Adj-Barrows'!$C$7)</f>
        <v>0.49187662326951037</v>
      </c>
      <c r="L57" s="1">
        <f t="shared" si="2"/>
        <v>2.033030139454457</v>
      </c>
      <c r="M57" s="27">
        <f t="shared" si="3"/>
        <v>1.8674536725130217</v>
      </c>
      <c r="N57" s="31">
        <f t="shared" si="9"/>
        <v>49.934176872703411</v>
      </c>
    </row>
    <row r="58" spans="1:14" x14ac:dyDescent="0.25">
      <c r="A58" s="26">
        <f t="shared" si="11"/>
        <v>76</v>
      </c>
      <c r="B58" s="28">
        <f>IF(A58&gt;200,"",IF($C$1='Adj-Mixed'!$A$21,VLOOKUP(A58,'337'!$A$6:$AB$188,2,FALSE),IF($C$1='Adj-Mixed'!$A$20,VLOOKUP(A58,'337'!$A$6:$AB$188,11,FALSE),IF($C$1='Adj-Mixed'!$A$19,VLOOKUP(A58,'337'!$A$6:$AB$188,20,FALSE)))))</f>
        <v>34.105804008737486</v>
      </c>
      <c r="C58" s="26">
        <f t="shared" si="4"/>
        <v>841.59691318948398</v>
      </c>
      <c r="D58" s="27">
        <f t="shared" si="5"/>
        <v>0.54848727731180569</v>
      </c>
      <c r="E58" s="27">
        <f>IF(A58&gt;200,"",IF($C$1='Adj-Mixed'!$A$21,VLOOKUP(A58,'337'!$A$7:$AB$188,8,FALSE),IF($C$1='Adj-Mixed'!$A$20,VLOOKUP(A58,'337'!$A$7:$AB$188,17,FALSE),IF($C$1='Adj-Mixed'!$A$19,VLOOKUP(A58,'337'!$A$7:$AB$188,26,FALSE)))))</f>
        <v>1.8231963463238492</v>
      </c>
      <c r="F58" s="27">
        <f t="shared" si="12"/>
        <v>1.5343964172044968</v>
      </c>
      <c r="G58" s="28">
        <f t="shared" si="8"/>
        <v>41.749083925422731</v>
      </c>
      <c r="H58" s="1"/>
      <c r="I58" s="136">
        <f t="shared" si="6"/>
        <v>37.0265840813558</v>
      </c>
      <c r="J58" s="26">
        <f>IF(A58&gt;200,"",C58*'Adj-Barrows'!$C$6)</f>
        <v>927.76331495707177</v>
      </c>
      <c r="K58" s="27">
        <f>IF(A58&gt;200,"",D58*'Adj-Barrows'!$C$7)</f>
        <v>0.48695230199427508</v>
      </c>
      <c r="L58" s="1">
        <f t="shared" si="2"/>
        <v>2.0535892240463349</v>
      </c>
      <c r="M58" s="27">
        <f t="shared" si="3"/>
        <v>1.9052447460613486</v>
      </c>
      <c r="N58" s="31">
        <f t="shared" si="9"/>
        <v>51.83942161876476</v>
      </c>
    </row>
    <row r="59" spans="1:14" x14ac:dyDescent="0.25">
      <c r="A59" s="26">
        <f t="shared" si="11"/>
        <v>77</v>
      </c>
      <c r="B59" s="28">
        <f>IF(A59&gt;200,"",IF($C$1='Adj-Mixed'!$A$21,VLOOKUP(A59,'337'!$A$6:$AB$188,2,FALSE),IF($C$1='Adj-Mixed'!$A$20,VLOOKUP(A59,'337'!$A$6:$AB$188,11,FALSE),IF($C$1='Adj-Mixed'!$A$19,VLOOKUP(A59,'337'!$A$6:$AB$188,20,FALSE)))))</f>
        <v>34.955584512159476</v>
      </c>
      <c r="C59" s="26">
        <f t="shared" si="4"/>
        <v>849.78050342198935</v>
      </c>
      <c r="D59" s="27">
        <f t="shared" si="5"/>
        <v>0.54310426074263352</v>
      </c>
      <c r="E59" s="27">
        <f>IF(A59&gt;200,"",IF($C$1='Adj-Mixed'!$A$21,VLOOKUP(A59,'337'!$A$7:$AB$188,8,FALSE),IF($C$1='Adj-Mixed'!$A$20,VLOOKUP(A59,'337'!$A$7:$AB$188,17,FALSE),IF($C$1='Adj-Mixed'!$A$19,VLOOKUP(A59,'337'!$A$7:$AB$188,26,FALSE)))))</f>
        <v>1.8412670867884802</v>
      </c>
      <c r="F59" s="27">
        <f t="shared" si="12"/>
        <v>1.5646728719454546</v>
      </c>
      <c r="G59" s="28">
        <f t="shared" si="8"/>
        <v>43.313756797368185</v>
      </c>
      <c r="H59" s="1"/>
      <c r="I59" s="136">
        <f t="shared" si="6"/>
        <v>37.963368858586996</v>
      </c>
      <c r="J59" s="26">
        <f>IF(A59&gt;200,"",C59*'Adj-Barrows'!$C$6)</f>
        <v>936.78477723119738</v>
      </c>
      <c r="K59" s="27">
        <f>IF(A59&gt;200,"",D59*'Adj-Barrows'!$C$7)</f>
        <v>0.48217320789590534</v>
      </c>
      <c r="L59" s="1">
        <f t="shared" si="2"/>
        <v>2.0739435199308844</v>
      </c>
      <c r="M59" s="27">
        <f t="shared" si="3"/>
        <v>1.9428387183085387</v>
      </c>
      <c r="N59" s="31">
        <f t="shared" si="9"/>
        <v>53.782260337073296</v>
      </c>
    </row>
    <row r="60" spans="1:14" x14ac:dyDescent="0.25">
      <c r="A60" s="26">
        <f t="shared" si="11"/>
        <v>78</v>
      </c>
      <c r="B60" s="28">
        <f>IF(A60&gt;200,"",IF($C$1='Adj-Mixed'!$A$21,VLOOKUP(A60,'337'!$A$6:$AB$188,2,FALSE),IF($C$1='Adj-Mixed'!$A$20,VLOOKUP(A60,'337'!$A$6:$AB$188,11,FALSE),IF($C$1='Adj-Mixed'!$A$19,VLOOKUP(A60,'337'!$A$6:$AB$188,20,FALSE)))))</f>
        <v>35.813379484736039</v>
      </c>
      <c r="C60" s="26">
        <f t="shared" si="4"/>
        <v>857.7949725765634</v>
      </c>
      <c r="D60" s="27">
        <f t="shared" si="5"/>
        <v>0.53787926929102925</v>
      </c>
      <c r="E60" s="27">
        <f>IF(A60&gt;200,"",IF($C$1='Adj-Mixed'!$A$21,VLOOKUP(A60,'337'!$A$7:$AB$188,8,FALSE),IF($C$1='Adj-Mixed'!$A$20,VLOOKUP(A60,'337'!$A$7:$AB$188,17,FALSE),IF($C$1='Adj-Mixed'!$A$19,VLOOKUP(A60,'337'!$A$7:$AB$188,26,FALSE)))))</f>
        <v>1.8591532655982173</v>
      </c>
      <c r="F60" s="27">
        <f t="shared" si="12"/>
        <v>1.5947723244794512</v>
      </c>
      <c r="G60" s="28">
        <f t="shared" si="8"/>
        <v>44.908529121847636</v>
      </c>
      <c r="H60" s="1"/>
      <c r="I60" s="136">
        <f t="shared" si="6"/>
        <v>38.908988661652934</v>
      </c>
      <c r="J60" s="26">
        <f>IF(A60&gt;200,"",C60*'Adj-Barrows'!$C$6)</f>
        <v>945.61980306594012</v>
      </c>
      <c r="K60" s="27">
        <f>IF(A60&gt;200,"",D60*'Adj-Barrows'!$C$7)</f>
        <v>0.47753441002309216</v>
      </c>
      <c r="L60" s="1">
        <f t="shared" si="2"/>
        <v>2.0940899315541324</v>
      </c>
      <c r="M60" s="27">
        <f t="shared" si="3"/>
        <v>1.9802129086785865</v>
      </c>
      <c r="N60" s="31">
        <f t="shared" si="9"/>
        <v>55.762473245751885</v>
      </c>
    </row>
    <row r="61" spans="1:14" x14ac:dyDescent="0.25">
      <c r="A61" s="26">
        <f t="shared" si="11"/>
        <v>79</v>
      </c>
      <c r="B61" s="28">
        <f>IF(A61&gt;200,"",IF($C$1='Adj-Mixed'!$A$21,VLOOKUP(A61,'337'!$A$6:$AB$188,2,FALSE),IF($C$1='Adj-Mixed'!$A$20,VLOOKUP(A61,'337'!$A$6:$AB$188,11,FALSE),IF($C$1='Adj-Mixed'!$A$19,VLOOKUP(A61,'337'!$A$6:$AB$188,20,FALSE)))))</f>
        <v>36.679018653543672</v>
      </c>
      <c r="C61" s="26">
        <f t="shared" si="4"/>
        <v>865.63916880763259</v>
      </c>
      <c r="D61" s="27">
        <f t="shared" si="5"/>
        <v>0.53280690649661633</v>
      </c>
      <c r="E61" s="27">
        <f>IF(A61&gt;200,"",IF($C$1='Adj-Mixed'!$A$21,VLOOKUP(A61,'337'!$A$7:$AB$188,8,FALSE),IF($C$1='Adj-Mixed'!$A$20,VLOOKUP(A61,'337'!$A$7:$AB$188,17,FALSE),IF($C$1='Adj-Mixed'!$A$19,VLOOKUP(A61,'337'!$A$7:$AB$188,26,FALSE)))))</f>
        <v>1.8768525479058344</v>
      </c>
      <c r="F61" s="27">
        <f t="shared" si="12"/>
        <v>1.624677079543694</v>
      </c>
      <c r="G61" s="28">
        <f t="shared" si="8"/>
        <v>46.53320620139133</v>
      </c>
      <c r="H61" s="1"/>
      <c r="I61" s="136">
        <f t="shared" si="6"/>
        <v>39.863255784337632</v>
      </c>
      <c r="J61" s="26">
        <f>IF(A61&gt;200,"",C61*'Adj-Barrows'!$C$6)</f>
        <v>954.26712268469919</v>
      </c>
      <c r="K61" s="27">
        <f>IF(A61&gt;200,"",D61*'Adj-Barrows'!$C$7)</f>
        <v>0.47303111734619507</v>
      </c>
      <c r="L61" s="1">
        <f t="shared" si="2"/>
        <v>2.1140258290199005</v>
      </c>
      <c r="M61" s="27">
        <f t="shared" si="3"/>
        <v>2.0173453451399563</v>
      </c>
      <c r="N61" s="31">
        <f t="shared" si="9"/>
        <v>57.779818590891843</v>
      </c>
    </row>
    <row r="62" spans="1:14" x14ac:dyDescent="0.25">
      <c r="A62" s="26">
        <f t="shared" si="11"/>
        <v>80</v>
      </c>
      <c r="B62" s="28">
        <f>IF(A62&gt;200,"",IF($C$1='Adj-Mixed'!$A$21,VLOOKUP(A62,'337'!$A$6:$AB$188,2,FALSE),IF($C$1='Adj-Mixed'!$A$20,VLOOKUP(A62,'337'!$A$6:$AB$188,11,FALSE),IF($C$1='Adj-Mixed'!$A$19,VLOOKUP(A62,'337'!$A$6:$AB$188,20,FALSE)))))</f>
        <v>37.552330702094132</v>
      </c>
      <c r="C62" s="26">
        <f t="shared" si="4"/>
        <v>873.31204855045996</v>
      </c>
      <c r="D62" s="27">
        <f t="shared" si="5"/>
        <v>0.52788192988016081</v>
      </c>
      <c r="E62" s="27">
        <f>IF(A62&gt;200,"",IF($C$1='Adj-Mixed'!$A$21,VLOOKUP(A62,'337'!$A$7:$AB$188,8,FALSE),IF($C$1='Adj-Mixed'!$A$20,VLOOKUP(A62,'337'!$A$7:$AB$188,17,FALSE),IF($C$1='Adj-Mixed'!$A$19,VLOOKUP(A62,'337'!$A$7:$AB$188,26,FALSE)))))</f>
        <v>1.8943630069455475</v>
      </c>
      <c r="F62" s="27">
        <f t="shared" si="12"/>
        <v>1.6543700382938253</v>
      </c>
      <c r="G62" s="28">
        <f t="shared" si="8"/>
        <v>48.187576239685157</v>
      </c>
      <c r="H62" s="1"/>
      <c r="I62" s="136">
        <f t="shared" si="6"/>
        <v>40.825981370015612</v>
      </c>
      <c r="J62" s="26">
        <f>IF(A62&gt;200,"",C62*'Adj-Barrows'!$C$6)</f>
        <v>962.72558567797989</v>
      </c>
      <c r="K62" s="27">
        <f>IF(A62&gt;200,"",D62*'Adj-Barrows'!$C$7)</f>
        <v>0.46865867554151919</v>
      </c>
      <c r="L62" s="1">
        <f t="shared" si="2"/>
        <v>2.1337490420817109</v>
      </c>
      <c r="M62" s="27">
        <f t="shared" si="3"/>
        <v>2.054214796227944</v>
      </c>
      <c r="N62" s="31">
        <f t="shared" si="9"/>
        <v>59.834033387119788</v>
      </c>
    </row>
    <row r="63" spans="1:14" x14ac:dyDescent="0.25">
      <c r="A63" s="26">
        <f t="shared" si="11"/>
        <v>81</v>
      </c>
      <c r="B63" s="28">
        <f>IF(A63&gt;200,"",IF($C$1='Adj-Mixed'!$A$21,VLOOKUP(A63,'337'!$A$6:$AB$188,2,FALSE),IF($C$1='Adj-Mixed'!$A$20,VLOOKUP(A63,'337'!$A$6:$AB$188,11,FALSE),IF($C$1='Adj-Mixed'!$A$19,VLOOKUP(A63,'337'!$A$6:$AB$188,20,FALSE)))))</f>
        <v>38.433143377484747</v>
      </c>
      <c r="C63" s="26">
        <f t="shared" si="4"/>
        <v>880.81267539061514</v>
      </c>
      <c r="D63" s="27">
        <f t="shared" si="5"/>
        <v>0.52309924723919776</v>
      </c>
      <c r="E63" s="27">
        <f>IF(A63&gt;200,"",IF($C$1='Adj-Mixed'!$A$21,VLOOKUP(A63,'337'!$A$7:$AB$188,8,FALSE),IF($C$1='Adj-Mixed'!$A$20,VLOOKUP(A63,'337'!$A$7:$AB$188,17,FALSE),IF($C$1='Adj-Mixed'!$A$19,VLOOKUP(A63,'337'!$A$7:$AB$188,26,FALSE)))))</f>
        <v>1.9116831180273706</v>
      </c>
      <c r="F63" s="27">
        <f t="shared" si="12"/>
        <v>1.6838347216887615</v>
      </c>
      <c r="G63" s="28">
        <f t="shared" si="8"/>
        <v>49.871410961373918</v>
      </c>
      <c r="H63" s="1"/>
      <c r="I63" s="136">
        <f t="shared" si="6"/>
        <v>41.796975529772723</v>
      </c>
      <c r="J63" s="26">
        <f>IF(A63&gt;200,"",C63*'Adj-Barrows'!$C$6)</f>
        <v>970.99415975711463</v>
      </c>
      <c r="K63" s="27">
        <f>IF(A63&gt;200,"",D63*'Adj-Barrows'!$C$7)</f>
        <v>0.46441256370253653</v>
      </c>
      <c r="L63" s="1">
        <f t="shared" si="2"/>
        <v>2.153257853378221</v>
      </c>
      <c r="M63" s="27">
        <f t="shared" si="3"/>
        <v>2.0908008000813938</v>
      </c>
      <c r="N63" s="31">
        <f t="shared" si="9"/>
        <v>61.924834187201185</v>
      </c>
    </row>
    <row r="64" spans="1:14" x14ac:dyDescent="0.25">
      <c r="A64" s="26">
        <f t="shared" si="11"/>
        <v>82</v>
      </c>
      <c r="B64" s="28">
        <f>IF(A64&gt;200,"",IF($C$1='Adj-Mixed'!$A$21,VLOOKUP(A64,'337'!$A$6:$AB$188,2,FALSE),IF($C$1='Adj-Mixed'!$A$20,VLOOKUP(A64,'337'!$A$6:$AB$188,11,FALSE),IF($C$1='Adj-Mixed'!$A$19,VLOOKUP(A64,'337'!$A$6:$AB$188,20,FALSE)))))</f>
        <v>39.321283596343449</v>
      </c>
      <c r="C64" s="26">
        <f t="shared" si="4"/>
        <v>888.1402188587017</v>
      </c>
      <c r="D64" s="27">
        <f t="shared" si="5"/>
        <v>0.51845391289985943</v>
      </c>
      <c r="E64" s="27">
        <f>IF(A64&gt;200,"",IF($C$1='Adj-Mixed'!$A$21,VLOOKUP(A64,'337'!$A$7:$AB$188,8,FALSE),IF($C$1='Adj-Mixed'!$A$20,VLOOKUP(A64,'337'!$A$7:$AB$188,17,FALSE),IF($C$1='Adj-Mixed'!$A$19,VLOOKUP(A64,'337'!$A$7:$AB$188,26,FALSE)))))</f>
        <v>1.9288117518618328</v>
      </c>
      <c r="F64" s="27">
        <f t="shared" si="12"/>
        <v>1.7130552914358042</v>
      </c>
      <c r="G64" s="28">
        <f t="shared" si="8"/>
        <v>51.584466252809719</v>
      </c>
      <c r="H64" s="1"/>
      <c r="I64" s="136">
        <f t="shared" si="6"/>
        <v>42.77604745919831</v>
      </c>
      <c r="J64" s="26">
        <f>IF(A64&gt;200,"",C64*'Adj-Barrows'!$C$6)</f>
        <v>979.07192942558936</v>
      </c>
      <c r="K64" s="27">
        <f>IF(A64&gt;200,"",D64*'Adj-Barrows'!$C$7)</f>
        <v>0.46028839101222285</v>
      </c>
      <c r="L64" s="1">
        <f t="shared" si="2"/>
        <v>2.172550990914401</v>
      </c>
      <c r="M64" s="27">
        <f t="shared" si="3"/>
        <v>2.1270836904500388</v>
      </c>
      <c r="N64" s="31">
        <f t="shared" si="9"/>
        <v>64.051917877651221</v>
      </c>
    </row>
    <row r="65" spans="1:14" x14ac:dyDescent="0.25">
      <c r="A65" s="26">
        <f t="shared" si="11"/>
        <v>83</v>
      </c>
      <c r="B65" s="28">
        <f>IF(A65&gt;200,"",IF($C$1='Adj-Mixed'!$A$21,VLOOKUP(A65,'337'!$A$6:$AB$188,2,FALSE),IF($C$1='Adj-Mixed'!$A$20,VLOOKUP(A65,'337'!$A$6:$AB$188,11,FALSE),IF($C$1='Adj-Mixed'!$A$19,VLOOKUP(A65,'337'!$A$6:$AB$188,20,FALSE)))))</f>
        <v>40.216577549494851</v>
      </c>
      <c r="C65" s="26">
        <f t="shared" si="4"/>
        <v>895.29395315140187</v>
      </c>
      <c r="D65" s="27">
        <f t="shared" si="5"/>
        <v>0.51394112395678737</v>
      </c>
      <c r="E65" s="27">
        <f>IF(A65&gt;200,"",IF($C$1='Adj-Mixed'!$A$21,VLOOKUP(A65,'337'!$A$7:$AB$188,8,FALSE),IF($C$1='Adj-Mixed'!$A$20,VLOOKUP(A65,'337'!$A$7:$AB$188,17,FALSE),IF($C$1='Adj-Mixed'!$A$19,VLOOKUP(A65,'337'!$A$7:$AB$188,26,FALSE)))))</f>
        <v>1.9457481672240746</v>
      </c>
      <c r="F65" s="27">
        <f t="shared" si="12"/>
        <v>1.7420165684711366</v>
      </c>
      <c r="G65" s="28">
        <f t="shared" si="8"/>
        <v>53.326482821280855</v>
      </c>
      <c r="H65" s="1"/>
      <c r="I65" s="136">
        <f t="shared" si="6"/>
        <v>43.763005553767456</v>
      </c>
      <c r="J65" s="26">
        <f>IF(A65&gt;200,"",C65*'Adj-Barrows'!$C$6)</f>
        <v>986.95809456914344</v>
      </c>
      <c r="K65" s="27">
        <f>IF(A65&gt;200,"",D65*'Adj-Barrows'!$C$7)</f>
        <v>0.45628189340481529</v>
      </c>
      <c r="L65" s="1">
        <f t="shared" si="2"/>
        <v>2.1916276197986133</v>
      </c>
      <c r="M65" s="27">
        <f t="shared" si="3"/>
        <v>2.1630446196415467</v>
      </c>
      <c r="N65" s="31">
        <f t="shared" si="9"/>
        <v>66.214962497292774</v>
      </c>
    </row>
    <row r="66" spans="1:14" x14ac:dyDescent="0.25">
      <c r="A66" s="26">
        <f t="shared" si="11"/>
        <v>84</v>
      </c>
      <c r="B66" s="28">
        <f>IF(A66&gt;200,"",IF($C$1='Adj-Mixed'!$A$21,VLOOKUP(A66,'337'!$A$6:$AB$188,2,FALSE),IF($C$1='Adj-Mixed'!$A$20,VLOOKUP(A66,'337'!$A$6:$AB$188,11,FALSE),IF($C$1='Adj-Mixed'!$A$19,VLOOKUP(A66,'337'!$A$6:$AB$188,20,FALSE)))))</f>
        <v>41.118850805276594</v>
      </c>
      <c r="C66" s="26">
        <f t="shared" si="4"/>
        <v>902.2732557817435</v>
      </c>
      <c r="D66" s="27">
        <f t="shared" si="5"/>
        <v>0.51052874477877919</v>
      </c>
      <c r="E66" s="27">
        <f>IF(A66&gt;200,"",IF($C$1='Adj-Mixed'!$A$21,VLOOKUP(A66,'337'!$A$7:$AB$188,8,FALSE),IF($C$1='Adj-Mixed'!$A$20,VLOOKUP(A66,'337'!$A$7:$AB$188,17,FALSE),IF($C$1='Adj-Mixed'!$A$19,VLOOKUP(A66,'337'!$A$7:$AB$188,26,FALSE)))))</f>
        <v>1.9587535672125906</v>
      </c>
      <c r="F66" s="27">
        <f t="shared" si="12"/>
        <v>1.7673309583630081</v>
      </c>
      <c r="G66" s="28">
        <f t="shared" si="8"/>
        <v>55.093813779643867</v>
      </c>
      <c r="H66" s="1"/>
      <c r="I66" s="136">
        <f t="shared" si="6"/>
        <v>44.7576575227353</v>
      </c>
      <c r="J66" s="26">
        <f>IF(A66&gt;200,"",C66*'Adj-Barrows'!$C$6)</f>
        <v>994.65196896784448</v>
      </c>
      <c r="K66" s="27">
        <f>IF(A66&gt;200,"",D66*'Adj-Barrows'!$C$7)</f>
        <v>0.4532523502144018</v>
      </c>
      <c r="L66" s="1">
        <f t="shared" si="2"/>
        <v>2.2062764804792967</v>
      </c>
      <c r="M66" s="27">
        <f t="shared" si="3"/>
        <v>2.1944772453961785</v>
      </c>
      <c r="N66" s="31">
        <f t="shared" si="9"/>
        <v>68.409439742688946</v>
      </c>
    </row>
    <row r="67" spans="1:14" x14ac:dyDescent="0.25">
      <c r="A67" s="26">
        <f t="shared" si="11"/>
        <v>85</v>
      </c>
      <c r="B67" s="28">
        <f>IF(A67&gt;200,"",IF($C$1='Adj-Mixed'!$A$21,VLOOKUP(A67,'337'!$A$6:$AB$188,2,FALSE),IF($C$1='Adj-Mixed'!$A$20,VLOOKUP(A67,'337'!$A$6:$AB$188,11,FALSE),IF($C$1='Adj-Mixed'!$A$19,VLOOKUP(A67,'337'!$A$6:$AB$188,20,FALSE)))))</f>
        <v>42.027928411437308</v>
      </c>
      <c r="C67" s="26">
        <f t="shared" si="4"/>
        <v>909.07760616071437</v>
      </c>
      <c r="D67" s="27">
        <f t="shared" si="5"/>
        <v>0.50492425396262952</v>
      </c>
      <c r="E67" s="27">
        <f>IF(A67&gt;200,"",IF($C$1='Adj-Mixed'!$A$21,VLOOKUP(A67,'337'!$A$7:$AB$188,8,FALSE),IF($C$1='Adj-Mixed'!$A$20,VLOOKUP(A67,'337'!$A$7:$AB$188,17,FALSE),IF($C$1='Adj-Mixed'!$A$19,VLOOKUP(A67,'337'!$A$7:$AB$188,26,FALSE)))))</f>
        <v>1.9804950785232274</v>
      </c>
      <c r="F67" s="27">
        <f t="shared" si="12"/>
        <v>1.8004237249969715</v>
      </c>
      <c r="G67" s="28">
        <f t="shared" si="8"/>
        <v>56.894237504640842</v>
      </c>
      <c r="H67" s="1"/>
      <c r="I67" s="136">
        <f t="shared" si="6"/>
        <v>45.759810501467783</v>
      </c>
      <c r="J67" s="26">
        <f>IF(A67&gt;200,"",C67*'Adj-Barrows'!$C$6)</f>
        <v>1002.1529787324823</v>
      </c>
      <c r="K67" s="27">
        <f>IF(A67&gt;200,"",D67*'Adj-Barrows'!$C$7)</f>
        <v>0.44827662914060484</v>
      </c>
      <c r="L67" s="1">
        <f t="shared" si="2"/>
        <v>2.2307654135731076</v>
      </c>
      <c r="M67" s="27">
        <f t="shared" si="3"/>
        <v>2.2355682040656877</v>
      </c>
      <c r="N67" s="31">
        <f t="shared" si="9"/>
        <v>70.645007946754632</v>
      </c>
    </row>
    <row r="68" spans="1:14" x14ac:dyDescent="0.25">
      <c r="A68" s="26">
        <f t="shared" si="11"/>
        <v>86</v>
      </c>
      <c r="B68" s="28">
        <f>IF(A68&gt;200,"",IF($C$1='Adj-Mixed'!$A$21,VLOOKUP(A68,'337'!$A$6:$AB$188,2,FALSE),IF($C$1='Adj-Mixed'!$A$20,VLOOKUP(A68,'337'!$A$6:$AB$188,11,FALSE),IF($C$1='Adj-Mixed'!$A$19,VLOOKUP(A68,'337'!$A$6:$AB$188,20,FALSE)))))</f>
        <v>42.94363499555007</v>
      </c>
      <c r="C68" s="26">
        <f t="shared" si="4"/>
        <v>915.7065841127619</v>
      </c>
      <c r="D68" s="27">
        <f t="shared" si="5"/>
        <v>0.49952503093828604</v>
      </c>
      <c r="E68" s="27">
        <f>IF(A68&gt;200,"",IF($C$1='Adj-Mixed'!$A$21,VLOOKUP(A68,'337'!$A$7:$AB$188,8,FALSE),IF($C$1='Adj-Mixed'!$A$20,VLOOKUP(A68,'337'!$A$7:$AB$188,17,FALSE),IF($C$1='Adj-Mixed'!$A$19,VLOOKUP(A68,'337'!$A$7:$AB$188,26,FALSE)))))</f>
        <v>2.0019016827277776</v>
      </c>
      <c r="F68" s="27">
        <f t="shared" si="12"/>
        <v>1.8331545516202432</v>
      </c>
      <c r="G68" s="28">
        <f t="shared" si="8"/>
        <v>58.727392056261081</v>
      </c>
      <c r="H68" s="1"/>
      <c r="I68" s="136">
        <f t="shared" si="6"/>
        <v>46.769271162135865</v>
      </c>
      <c r="J68" s="26">
        <f>IF(A68&gt;200,"",C68*'Adj-Barrows'!$C$6)</f>
        <v>1009.4606606680793</v>
      </c>
      <c r="K68" s="27">
        <f>IF(A68&gt;200,"",D68*'Adj-Barrows'!$C$7)</f>
        <v>0.44348314679481488</v>
      </c>
      <c r="L68" s="1">
        <f t="shared" ref="L68:L131" si="13">IF(A68&gt;200,"",1/K68)</f>
        <v>2.2548771181662675</v>
      </c>
      <c r="M68" s="27">
        <f t="shared" ref="M68:M131" si="14">IF(A68&gt;200,"",(J68/1000)/K68)</f>
        <v>2.2762097454294556</v>
      </c>
      <c r="N68" s="31">
        <f t="shared" si="9"/>
        <v>72.921217692184086</v>
      </c>
    </row>
    <row r="69" spans="1:14" x14ac:dyDescent="0.25">
      <c r="A69" s="26">
        <f t="shared" si="11"/>
        <v>87</v>
      </c>
      <c r="B69" s="28">
        <f>IF(A69&gt;200,"",IF($C$1='Adj-Mixed'!$A$21,VLOOKUP(A69,'337'!$A$6:$AB$188,2,FALSE),IF($C$1='Adj-Mixed'!$A$20,VLOOKUP(A69,'337'!$A$6:$AB$188,11,FALSE),IF($C$1='Adj-Mixed'!$A$19,VLOOKUP(A69,'337'!$A$6:$AB$188,20,FALSE)))))</f>
        <v>43.865794863877952</v>
      </c>
      <c r="C69" s="26">
        <f t="shared" ref="C69:C132" si="15">IF(A69&gt;200,"",(B69-B68)*1000)</f>
        <v>922.15986832788133</v>
      </c>
      <c r="D69" s="27">
        <f t="shared" ref="D69:D132" si="16">IF(A69&gt;200,"",1/E69)</f>
        <v>0.49432218643965764</v>
      </c>
      <c r="E69" s="27">
        <f>IF(A69&gt;200,"",IF($C$1='Adj-Mixed'!$A$21,VLOOKUP(A69,'337'!$A$7:$AB$188,8,FALSE),IF($C$1='Adj-Mixed'!$A$20,VLOOKUP(A69,'337'!$A$7:$AB$188,17,FALSE),IF($C$1='Adj-Mixed'!$A$19,VLOOKUP(A69,'337'!$A$7:$AB$188,26,FALSE)))))</f>
        <v>2.02297211703661</v>
      </c>
      <c r="F69" s="27">
        <f t="shared" si="12"/>
        <v>1.8655037010774556</v>
      </c>
      <c r="G69" s="28">
        <f t="shared" si="8"/>
        <v>60.592895757338539</v>
      </c>
      <c r="H69" s="1"/>
      <c r="I69" s="136">
        <f t="shared" ref="I69:I132" si="17">IF(A69&gt;200,"",I68+(J69/1000))</f>
        <v>47.785845822703358</v>
      </c>
      <c r="J69" s="26">
        <f>IF(A69&gt;200,"",C69*'Adj-Barrows'!$C$6)</f>
        <v>1016.5746605674959</v>
      </c>
      <c r="K69" s="27">
        <f>IF(A69&gt;200,"",D69*'Adj-Barrows'!$C$7)</f>
        <v>0.43886401120074514</v>
      </c>
      <c r="L69" s="1">
        <f t="shared" si="13"/>
        <v>2.2786101718934981</v>
      </c>
      <c r="M69" s="27">
        <f t="shared" si="14"/>
        <v>2.3163773620582764</v>
      </c>
      <c r="N69" s="31">
        <f t="shared" si="9"/>
        <v>75.237595054242362</v>
      </c>
    </row>
    <row r="70" spans="1:14" x14ac:dyDescent="0.25">
      <c r="A70" s="26">
        <f t="shared" si="11"/>
        <v>88</v>
      </c>
      <c r="B70" s="28">
        <f>IF(A70&gt;200,"",IF($C$1='Adj-Mixed'!$A$21,VLOOKUP(A70,'337'!$A$6:$AB$188,2,FALSE),IF($C$1='Adj-Mixed'!$A$20,VLOOKUP(A70,'337'!$A$6:$AB$188,11,FALSE),IF($C$1='Adj-Mixed'!$A$19,VLOOKUP(A70,'337'!$A$6:$AB$188,20,FALSE)))))</f>
        <v>44.794232098630758</v>
      </c>
      <c r="C70" s="26">
        <f t="shared" si="15"/>
        <v>928.43723475280626</v>
      </c>
      <c r="D70" s="27">
        <f t="shared" si="16"/>
        <v>0.48930722130587312</v>
      </c>
      <c r="E70" s="27">
        <f>IF(A70&gt;200,"",IF($C$1='Adj-Mixed'!$A$21,VLOOKUP(A70,'337'!$A$7:$AB$188,8,FALSE),IF($C$1='Adj-Mixed'!$A$20,VLOOKUP(A70,'337'!$A$7:$AB$188,17,FALSE),IF($C$1='Adj-Mixed'!$A$19,VLOOKUP(A70,'337'!$A$7:$AB$188,26,FALSE)))))</f>
        <v>2.0437057874011741</v>
      </c>
      <c r="F70" s="27">
        <f t="shared" si="12"/>
        <v>1.8974525499030526</v>
      </c>
      <c r="G70" s="28">
        <f t="shared" ref="G70:G133" si="18">IF(A70&gt;200,"",F70+G69)</f>
        <v>62.49034830724159</v>
      </c>
      <c r="H70" s="1"/>
      <c r="I70" s="136">
        <f t="shared" si="17"/>
        <v>48.809340554141265</v>
      </c>
      <c r="J70" s="26">
        <f>IF(A70&gt;200,"",C70*'Adj-Barrows'!$C$6)</f>
        <v>1023.4947314379049</v>
      </c>
      <c r="K70" s="27">
        <f>IF(A70&gt;200,"",D70*'Adj-Barrows'!$C$7)</f>
        <v>0.43441167672129077</v>
      </c>
      <c r="L70" s="1">
        <f t="shared" si="13"/>
        <v>2.3019639056377819</v>
      </c>
      <c r="M70" s="27">
        <f t="shared" si="14"/>
        <v>2.3560479293804919</v>
      </c>
      <c r="N70" s="31">
        <f t="shared" ref="N70:N133" si="19">IF(A70&gt;200,"",N69+M70)</f>
        <v>77.593642983622857</v>
      </c>
    </row>
    <row r="71" spans="1:14" x14ac:dyDescent="0.25">
      <c r="A71" s="26">
        <f t="shared" si="11"/>
        <v>89</v>
      </c>
      <c r="B71" s="28">
        <f>IF(A71&gt;200,"",IF($C$1='Adj-Mixed'!$A$21,VLOOKUP(A71,'337'!$A$6:$AB$188,2,FALSE),IF($C$1='Adj-Mixed'!$A$20,VLOOKUP(A71,'337'!$A$6:$AB$188,11,FALSE),IF($C$1='Adj-Mixed'!$A$19,VLOOKUP(A71,'337'!$A$6:$AB$188,20,FALSE)))))</f>
        <v>45.728770653555173</v>
      </c>
      <c r="C71" s="26">
        <f t="shared" si="15"/>
        <v>934.53855492441562</v>
      </c>
      <c r="D71" s="27">
        <f t="shared" si="16"/>
        <v>0.48447200589888556</v>
      </c>
      <c r="E71" s="27">
        <f>IF(A71&gt;200,"",IF($C$1='Adj-Mixed'!$A$21,VLOOKUP(A71,'337'!$A$7:$AB$188,8,FALSE),IF($C$1='Adj-Mixed'!$A$20,VLOOKUP(A71,'337'!$A$7:$AB$188,17,FALSE),IF($C$1='Adj-Mixed'!$A$19,VLOOKUP(A71,'337'!$A$7:$AB$188,26,FALSE)))))</f>
        <v>2.0641027506730918</v>
      </c>
      <c r="F71" s="27">
        <f t="shared" si="12"/>
        <v>1.9289836018295425</v>
      </c>
      <c r="G71" s="28">
        <f t="shared" si="18"/>
        <v>64.419331909071133</v>
      </c>
      <c r="H71" s="1"/>
      <c r="I71" s="136">
        <f t="shared" si="17"/>
        <v>49.839561285804827</v>
      </c>
      <c r="J71" s="26">
        <f>IF(A71&gt;200,"",C71*'Adj-Barrows'!$C$6)</f>
        <v>1030.2207316635643</v>
      </c>
      <c r="K71" s="27">
        <f>IF(A71&gt;200,"",D71*'Adj-Barrows'!$C$7)</f>
        <v>0.43011892578527905</v>
      </c>
      <c r="L71" s="1">
        <f t="shared" si="13"/>
        <v>2.3249383834349411</v>
      </c>
      <c r="M71" s="27">
        <f t="shared" si="14"/>
        <v>2.3951997224550494</v>
      </c>
      <c r="N71" s="31">
        <f t="shared" si="19"/>
        <v>79.988842706077904</v>
      </c>
    </row>
    <row r="72" spans="1:14" x14ac:dyDescent="0.25">
      <c r="A72" s="26">
        <f t="shared" si="11"/>
        <v>90</v>
      </c>
      <c r="B72" s="28">
        <f>IF(A72&gt;200,"",IF($C$1='Adj-Mixed'!$A$21,VLOOKUP(A72,'337'!$A$6:$AB$188,2,FALSE),IF($C$1='Adj-Mixed'!$A$20,VLOOKUP(A72,'337'!$A$6:$AB$188,11,FALSE),IF($C$1='Adj-Mixed'!$A$19,VLOOKUP(A72,'337'!$A$6:$AB$188,20,FALSE)))))</f>
        <v>46.66923444780322</v>
      </c>
      <c r="C72" s="26">
        <f t="shared" si="15"/>
        <v>940.46379424804627</v>
      </c>
      <c r="D72" s="27">
        <f t="shared" si="16"/>
        <v>0.47980876076134316</v>
      </c>
      <c r="E72" s="27">
        <f>IF(A72&gt;200,"",IF($C$1='Adj-Mixed'!$A$21,VLOOKUP(A72,'337'!$A$7:$AB$188,8,FALSE),IF($C$1='Adj-Mixed'!$A$20,VLOOKUP(A72,'337'!$A$7:$AB$188,17,FALSE),IF($C$1='Adj-Mixed'!$A$19,VLOOKUP(A72,'337'!$A$7:$AB$188,26,FALSE)))))</f>
        <v>2.0841636955799561</v>
      </c>
      <c r="F72" s="27">
        <f t="shared" si="12"/>
        <v>1.9600804969791554</v>
      </c>
      <c r="G72" s="28">
        <f t="shared" si="18"/>
        <v>66.379412406050292</v>
      </c>
      <c r="H72" s="1"/>
      <c r="I72" s="136">
        <f t="shared" si="17"/>
        <v>50.876313908912685</v>
      </c>
      <c r="J72" s="26">
        <f>IF(A72&gt;200,"",C72*'Adj-Barrows'!$C$6)</f>
        <v>1036.7526231078571</v>
      </c>
      <c r="K72" s="27">
        <f>IF(A72&gt;200,"",D72*'Adj-Barrows'!$C$7)</f>
        <v>0.42597885171534039</v>
      </c>
      <c r="L72" s="1">
        <f t="shared" si="13"/>
        <v>2.3475343810453957</v>
      </c>
      <c r="M72" s="27">
        <f t="shared" si="14"/>
        <v>2.4338124273846935</v>
      </c>
      <c r="N72" s="31">
        <f t="shared" si="19"/>
        <v>82.422655133462598</v>
      </c>
    </row>
    <row r="73" spans="1:14" x14ac:dyDescent="0.25">
      <c r="A73" s="26">
        <f t="shared" si="11"/>
        <v>91</v>
      </c>
      <c r="B73" s="28">
        <f>IF(A73&gt;200,"",IF($C$1='Adj-Mixed'!$A$21,VLOOKUP(A73,'337'!$A$6:$AB$188,2,FALSE),IF($C$1='Adj-Mixed'!$A$20,VLOOKUP(A73,'337'!$A$6:$AB$188,11,FALSE),IF($C$1='Adj-Mixed'!$A$19,VLOOKUP(A73,'337'!$A$6:$AB$188,20,FALSE)))))</f>
        <v>47.615447458026935</v>
      </c>
      <c r="C73" s="26">
        <f t="shared" si="15"/>
        <v>946.2130102237154</v>
      </c>
      <c r="D73" s="27">
        <f t="shared" si="16"/>
        <v>0.47531003844276404</v>
      </c>
      <c r="E73" s="27">
        <f>IF(A73&gt;200,"",IF($C$1='Adj-Mixed'!$A$21,VLOOKUP(A73,'337'!$A$7:$AB$188,8,FALSE),IF($C$1='Adj-Mixed'!$A$20,VLOOKUP(A73,'337'!$A$7:$AB$188,17,FALSE),IF($C$1='Adj-Mixed'!$A$19,VLOOKUP(A73,'337'!$A$7:$AB$188,26,FALSE)))))</f>
        <v>2.1038899226203029</v>
      </c>
      <c r="F73" s="27">
        <f t="shared" si="12"/>
        <v>1.9907280168618966</v>
      </c>
      <c r="G73" s="28">
        <f t="shared" si="18"/>
        <v>68.370140422912186</v>
      </c>
      <c r="H73" s="1"/>
      <c r="I73" s="136">
        <f t="shared" si="17"/>
        <v>51.919404378070588</v>
      </c>
      <c r="J73" s="26">
        <f>IF(A73&gt;200,"",C73*'Adj-Barrows'!$C$6)</f>
        <v>1043.0904691579055</v>
      </c>
      <c r="K73" s="27">
        <f>IF(A73&gt;200,"",D73*'Adj-Barrows'!$C$7)</f>
        <v>0.42198484259301067</v>
      </c>
      <c r="L73" s="1">
        <f t="shared" si="13"/>
        <v>2.3697533633085119</v>
      </c>
      <c r="M73" s="27">
        <f t="shared" si="14"/>
        <v>2.471867147522</v>
      </c>
      <c r="N73" s="31">
        <f t="shared" si="19"/>
        <v>84.894522280984603</v>
      </c>
    </row>
    <row r="74" spans="1:14" x14ac:dyDescent="0.25">
      <c r="A74" s="26">
        <f t="shared" si="11"/>
        <v>92</v>
      </c>
      <c r="B74" s="28">
        <f>IF(A74&gt;200,"",IF($C$1='Adj-Mixed'!$A$21,VLOOKUP(A74,'337'!$A$6:$AB$188,2,FALSE),IF($C$1='Adj-Mixed'!$A$20,VLOOKUP(A74,'337'!$A$6:$AB$188,11,FALSE),IF($C$1='Adj-Mixed'!$A$19,VLOOKUP(A74,'337'!$A$6:$AB$188,20,FALSE)))))</f>
        <v>48.567233808650215</v>
      </c>
      <c r="C74" s="26">
        <f t="shared" si="15"/>
        <v>951.78635062327999</v>
      </c>
      <c r="D74" s="27">
        <f t="shared" si="16"/>
        <v>0.47096870642556987</v>
      </c>
      <c r="E74" s="27">
        <f>IF(A74&gt;200,"",IF($C$1='Adj-Mixed'!$A$21,VLOOKUP(A74,'337'!$A$7:$AB$188,8,FALSE),IF($C$1='Adj-Mixed'!$A$20,VLOOKUP(A74,'337'!$A$7:$AB$188,17,FALSE),IF($C$1='Adj-Mixed'!$A$19,VLOOKUP(A74,'337'!$A$7:$AB$188,26,FALSE)))))</f>
        <v>2.1232833229823864</v>
      </c>
      <c r="F74" s="27">
        <f t="shared" si="12"/>
        <v>2.0209120853206768</v>
      </c>
      <c r="G74" s="28">
        <f t="shared" si="18"/>
        <v>70.39105250823286</v>
      </c>
      <c r="H74" s="1"/>
      <c r="I74" s="136">
        <f t="shared" si="17"/>
        <v>52.968638810785691</v>
      </c>
      <c r="J74" s="26">
        <f>IF(A74&gt;200,"",C74*'Adj-Barrows'!$C$6)</f>
        <v>1049.2344327151006</v>
      </c>
      <c r="K74" s="27">
        <f>IF(A74&gt;200,"",D74*'Adj-Barrows'!$C$7)</f>
        <v>0.41813056610029931</v>
      </c>
      <c r="L74" s="1">
        <f t="shared" si="13"/>
        <v>2.3915974603973926</v>
      </c>
      <c r="M74" s="27">
        <f t="shared" si="14"/>
        <v>2.5093464046429337</v>
      </c>
      <c r="N74" s="31">
        <f t="shared" si="19"/>
        <v>87.403868685627543</v>
      </c>
    </row>
    <row r="75" spans="1:14" x14ac:dyDescent="0.25">
      <c r="A75" s="26">
        <f t="shared" si="11"/>
        <v>93</v>
      </c>
      <c r="B75" s="28">
        <f>IF(A75&gt;200,"",IF($C$1='Adj-Mixed'!$A$21,VLOOKUP(A75,'337'!$A$6:$AB$188,2,FALSE),IF($C$1='Adj-Mixed'!$A$20,VLOOKUP(A75,'337'!$A$6:$AB$188,11,FALSE),IF($C$1='Adj-Mixed'!$A$19,VLOOKUP(A75,'337'!$A$6:$AB$188,20,FALSE)))))</f>
        <v>49.524417860271981</v>
      </c>
      <c r="C75" s="26">
        <f t="shared" si="15"/>
        <v>957.18405162176623</v>
      </c>
      <c r="D75" s="27">
        <f t="shared" si="16"/>
        <v>0.46677793108608101</v>
      </c>
      <c r="E75" s="27">
        <f>IF(A75&gt;200,"",IF($C$1='Adj-Mixed'!$A$21,VLOOKUP(A75,'337'!$A$7:$AB$188,8,FALSE),IF($C$1='Adj-Mixed'!$A$20,VLOOKUP(A75,'337'!$A$7:$AB$188,17,FALSE),IF($C$1='Adj-Mixed'!$A$19,VLOOKUP(A75,'337'!$A$7:$AB$188,26,FALSE)))))</f>
        <v>2.1423463565923915</v>
      </c>
      <c r="F75" s="27">
        <f t="shared" si="12"/>
        <v>2.0506197655802345</v>
      </c>
      <c r="G75" s="28">
        <f t="shared" si="18"/>
        <v>72.441672273813097</v>
      </c>
      <c r="H75" s="1"/>
      <c r="I75" s="136">
        <f t="shared" si="17"/>
        <v>54.023823584920798</v>
      </c>
      <c r="J75" s="26">
        <f>IF(A75&gt;200,"",C75*'Adj-Barrows'!$C$6)</f>
        <v>1055.1847741351091</v>
      </c>
      <c r="K75" s="27">
        <f>IF(A75&gt;200,"",D75*'Adj-Barrows'!$C$7)</f>
        <v>0.41440995528010555</v>
      </c>
      <c r="L75" s="1">
        <f t="shared" si="13"/>
        <v>2.4130694430930983</v>
      </c>
      <c r="M75" s="27">
        <f t="shared" si="14"/>
        <v>2.546234135282524</v>
      </c>
      <c r="N75" s="31">
        <f t="shared" si="19"/>
        <v>89.950102820910061</v>
      </c>
    </row>
    <row r="76" spans="1:14" x14ac:dyDescent="0.25">
      <c r="A76" s="26">
        <f t="shared" si="11"/>
        <v>94</v>
      </c>
      <c r="B76" s="28">
        <f>IF(A76&gt;200,"",IF($C$1='Adj-Mixed'!$A$21,VLOOKUP(A76,'337'!$A$6:$AB$188,2,FALSE),IF($C$1='Adj-Mixed'!$A$20,VLOOKUP(A76,'337'!$A$6:$AB$188,11,FALSE),IF($C$1='Adj-Mixed'!$A$19,VLOOKUP(A76,'337'!$A$6:$AB$188,20,FALSE)))))</f>
        <v>50.486824296157579</v>
      </c>
      <c r="C76" s="26">
        <f t="shared" si="15"/>
        <v>962.40643588559749</v>
      </c>
      <c r="D76" s="27">
        <f t="shared" si="16"/>
        <v>0.46273116262869002</v>
      </c>
      <c r="E76" s="27">
        <f>IF(A76&gt;200,"",IF($C$1='Adj-Mixed'!$A$21,VLOOKUP(A76,'337'!$A$7:$AB$188,8,FALSE),IF($C$1='Adj-Mixed'!$A$20,VLOOKUP(A76,'337'!$A$7:$AB$188,17,FALSE),IF($C$1='Adj-Mixed'!$A$19,VLOOKUP(A76,'337'!$A$7:$AB$188,26,FALSE)))))</f>
        <v>2.161082029399501</v>
      </c>
      <c r="F76" s="27">
        <f t="shared" si="12"/>
        <v>2.0798392535707877</v>
      </c>
      <c r="G76" s="28">
        <f t="shared" si="18"/>
        <v>74.521511527383879</v>
      </c>
      <c r="H76" s="1"/>
      <c r="I76" s="136">
        <f t="shared" si="17"/>
        <v>55.084765434041167</v>
      </c>
      <c r="J76" s="26">
        <f>IF(A76&gt;200,"",C76*'Adj-Barrows'!$C$6)</f>
        <v>1060.9418491203651</v>
      </c>
      <c r="K76" s="27">
        <f>IF(A76&gt;200,"",D76*'Adj-Barrows'!$C$7)</f>
        <v>0.4108171951606322</v>
      </c>
      <c r="L76" s="1">
        <f t="shared" si="13"/>
        <v>2.4341726971992821</v>
      </c>
      <c r="M76" s="27">
        <f t="shared" si="14"/>
        <v>2.5825156824449129</v>
      </c>
      <c r="N76" s="31">
        <f t="shared" si="19"/>
        <v>92.532618503354968</v>
      </c>
    </row>
    <row r="77" spans="1:14" x14ac:dyDescent="0.25">
      <c r="A77" s="26">
        <f t="shared" si="11"/>
        <v>95</v>
      </c>
      <c r="B77" s="28">
        <f>IF(A77&gt;200,"",IF($C$1='Adj-Mixed'!$A$21,VLOOKUP(A77,'337'!$A$6:$AB$188,2,FALSE),IF($C$1='Adj-Mixed'!$A$20,VLOOKUP(A77,'337'!$A$6:$AB$188,11,FALSE),IF($C$1='Adj-Mixed'!$A$19,VLOOKUP(A77,'337'!$A$6:$AB$188,20,FALSE)))))</f>
        <v>51.454278206778739</v>
      </c>
      <c r="C77" s="26">
        <f t="shared" si="15"/>
        <v>967.45391062115971</v>
      </c>
      <c r="D77" s="27">
        <f t="shared" si="16"/>
        <v>0.4588221209350502</v>
      </c>
      <c r="E77" s="27">
        <f>IF(A77&gt;200,"",IF($C$1='Adj-Mixed'!$A$21,VLOOKUP(A77,'337'!$A$7:$AB$188,8,FALSE),IF($C$1='Adj-Mixed'!$A$20,VLOOKUP(A77,'337'!$A$7:$AB$188,17,FALSE),IF($C$1='Adj-Mixed'!$A$19,VLOOKUP(A77,'337'!$A$7:$AB$188,26,FALSE)))))</f>
        <v>2.1794938700036166</v>
      </c>
      <c r="F77" s="27">
        <f t="shared" si="12"/>
        <v>2.108559867709844</v>
      </c>
      <c r="G77" s="28">
        <f t="shared" si="18"/>
        <v>76.630071395093722</v>
      </c>
      <c r="H77" s="1"/>
      <c r="I77" s="136">
        <f t="shared" si="17"/>
        <v>56.151271540610004</v>
      </c>
      <c r="J77" s="26">
        <f>IF(A77&gt;200,"",C77*'Adj-Barrows'!$C$6)</f>
        <v>1066.506106568839</v>
      </c>
      <c r="K77" s="27">
        <f>IF(A77&gt;200,"",D77*'Adj-Barrows'!$C$7)</f>
        <v>0.40734671019215885</v>
      </c>
      <c r="L77" s="1">
        <f t="shared" si="13"/>
        <v>2.454911197216413</v>
      </c>
      <c r="M77" s="27">
        <f t="shared" si="14"/>
        <v>2.6181777829155242</v>
      </c>
      <c r="N77" s="31">
        <f t="shared" si="19"/>
        <v>95.150796286270491</v>
      </c>
    </row>
    <row r="78" spans="1:14" x14ac:dyDescent="0.25">
      <c r="A78" s="26">
        <f t="shared" si="11"/>
        <v>96</v>
      </c>
      <c r="B78" s="28">
        <f>IF(A78&gt;200,"",IF($C$1='Adj-Mixed'!$A$21,VLOOKUP(A78,'337'!$A$6:$AB$188,2,FALSE),IF($C$1='Adj-Mixed'!$A$20,VLOOKUP(A78,'337'!$A$6:$AB$188,11,FALSE),IF($C$1='Adj-Mixed'!$A$19,VLOOKUP(A78,'337'!$A$6:$AB$188,20,FALSE)))))</f>
        <v>52.426605172365491</v>
      </c>
      <c r="C78" s="26">
        <f t="shared" si="15"/>
        <v>972.32696558675252</v>
      </c>
      <c r="D78" s="27">
        <f t="shared" si="16"/>
        <v>0.45504478227304967</v>
      </c>
      <c r="E78" s="27">
        <f>IF(A78&gt;200,"",IF($C$1='Adj-Mixed'!$A$21,VLOOKUP(A78,'337'!$A$7:$AB$188,8,FALSE),IF($C$1='Adj-Mixed'!$A$20,VLOOKUP(A78,'337'!$A$7:$AB$188,17,FALSE),IF($C$1='Adj-Mixed'!$A$19,VLOOKUP(A78,'337'!$A$7:$AB$188,26,FALSE)))))</f>
        <v>2.1975859057316911</v>
      </c>
      <c r="F78" s="27">
        <f t="shared" si="12"/>
        <v>2.13677203533631</v>
      </c>
      <c r="G78" s="28">
        <f t="shared" si="18"/>
        <v>78.766843430430029</v>
      </c>
      <c r="H78" s="1"/>
      <c r="I78" s="136">
        <f t="shared" si="17"/>
        <v>57.223149626992452</v>
      </c>
      <c r="J78" s="26">
        <f>IF(A78&gt;200,"",C78*'Adj-Barrows'!$C$6)</f>
        <v>1071.8780863824443</v>
      </c>
      <c r="K78" s="27">
        <f>IF(A78&gt;200,"",D78*'Adj-Barrows'!$C$7)</f>
        <v>0.40399315244714029</v>
      </c>
      <c r="L78" s="1">
        <f t="shared" si="13"/>
        <v>2.4752894793949336</v>
      </c>
      <c r="M78" s="27">
        <f t="shared" si="14"/>
        <v>2.653208550416438</v>
      </c>
      <c r="N78" s="31">
        <f t="shared" si="19"/>
        <v>97.804004836686929</v>
      </c>
    </row>
    <row r="79" spans="1:14" x14ac:dyDescent="0.25">
      <c r="A79" s="26">
        <f t="shared" si="11"/>
        <v>97</v>
      </c>
      <c r="B79" s="28">
        <f>IF(A79&gt;200,"",IF($C$1='Adj-Mixed'!$A$21,VLOOKUP(A79,'337'!$A$6:$AB$188,2,FALSE),IF($C$1='Adj-Mixed'!$A$20,VLOOKUP(A79,'337'!$A$6:$AB$188,11,FALSE),IF($C$1='Adj-Mixed'!$A$19,VLOOKUP(A79,'337'!$A$6:$AB$188,20,FALSE)))))</f>
        <v>53.403631343436537</v>
      </c>
      <c r="C79" s="26">
        <f t="shared" si="15"/>
        <v>977.02617107104572</v>
      </c>
      <c r="D79" s="27">
        <f t="shared" si="16"/>
        <v>0.45139336681339964</v>
      </c>
      <c r="E79" s="27">
        <f>IF(A79&gt;200,"",IF($C$1='Adj-Mixed'!$A$21,VLOOKUP(A79,'337'!$A$7:$AB$188,8,FALSE),IF($C$1='Adj-Mixed'!$A$20,VLOOKUP(A79,'337'!$A$7:$AB$188,17,FALSE),IF($C$1='Adj-Mixed'!$A$19,VLOOKUP(A79,'337'!$A$7:$AB$188,26,FALSE)))))</f>
        <v>2.2153626382670959</v>
      </c>
      <c r="F79" s="27">
        <f t="shared" si="12"/>
        <v>2.1644672759999506</v>
      </c>
      <c r="G79" s="28">
        <f t="shared" si="18"/>
        <v>80.931310706429983</v>
      </c>
      <c r="H79" s="1"/>
      <c r="I79" s="136">
        <f t="shared" si="17"/>
        <v>58.30020804423097</v>
      </c>
      <c r="J79" s="26">
        <f>IF(A79&gt;200,"",C79*'Adj-Barrows'!$C$6)</f>
        <v>1077.0584172385186</v>
      </c>
      <c r="K79" s="27">
        <f>IF(A79&gt;200,"",D79*'Adj-Barrows'!$C$7)</f>
        <v>0.4007513905373134</v>
      </c>
      <c r="L79" s="1">
        <f t="shared" si="13"/>
        <v>2.4953126142849689</v>
      </c>
      <c r="M79" s="27">
        <f t="shared" si="14"/>
        <v>2.6875974548570789</v>
      </c>
      <c r="N79" s="31">
        <f t="shared" si="19"/>
        <v>100.49160229154401</v>
      </c>
    </row>
    <row r="80" spans="1:14" x14ac:dyDescent="0.25">
      <c r="A80" s="26">
        <f t="shared" si="11"/>
        <v>98</v>
      </c>
      <c r="B80" s="28">
        <f>IF(A80&gt;200,"",IF($C$1='Adj-Mixed'!$A$21,VLOOKUP(A80,'337'!$A$6:$AB$188,2,FALSE),IF($C$1='Adj-Mixed'!$A$20,VLOOKUP(A80,'337'!$A$6:$AB$188,11,FALSE),IF($C$1='Adj-Mixed'!$A$19,VLOOKUP(A80,'337'!$A$6:$AB$188,20,FALSE)))))</f>
        <v>54.385183519277625</v>
      </c>
      <c r="C80" s="26">
        <f t="shared" si="15"/>
        <v>981.55217584108811</v>
      </c>
      <c r="D80" s="27">
        <f t="shared" si="16"/>
        <v>0.44786232690451316</v>
      </c>
      <c r="E80" s="27">
        <f>IF(A80&gt;200,"",IF($C$1='Adj-Mixed'!$A$21,VLOOKUP(A80,'337'!$A$7:$AB$188,8,FALSE),IF($C$1='Adj-Mixed'!$A$20,VLOOKUP(A80,'337'!$A$7:$AB$188,17,FALSE),IF($C$1='Adj-Mixed'!$A$19,VLOOKUP(A80,'337'!$A$7:$AB$188,26,FALSE)))))</f>
        <v>2.2328290189346642</v>
      </c>
      <c r="F80" s="27">
        <f t="shared" si="12"/>
        <v>2.1916381818164417</v>
      </c>
      <c r="G80" s="28">
        <f t="shared" si="18"/>
        <v>83.122948888246427</v>
      </c>
      <c r="H80" s="1"/>
      <c r="I80" s="136">
        <f t="shared" si="17"/>
        <v>59.382255858558715</v>
      </c>
      <c r="J80" s="26">
        <f>IF(A80&gt;200,"",C80*'Adj-Barrows'!$C$6)</f>
        <v>1082.0478143277408</v>
      </c>
      <c r="K80" s="27">
        <f>IF(A80&gt;200,"",D80*'Adj-Barrows'!$C$7)</f>
        <v>0.39761649920402098</v>
      </c>
      <c r="L80" s="1">
        <f t="shared" si="13"/>
        <v>2.5149861788982002</v>
      </c>
      <c r="M80" s="27">
        <f t="shared" si="14"/>
        <v>2.7213352979412742</v>
      </c>
      <c r="N80" s="31">
        <f t="shared" si="19"/>
        <v>103.21293758948529</v>
      </c>
    </row>
    <row r="81" spans="1:14" x14ac:dyDescent="0.25">
      <c r="A81" s="26">
        <f t="shared" si="11"/>
        <v>99</v>
      </c>
      <c r="B81" s="28">
        <f>IF(A81&gt;200,"",IF($C$1='Adj-Mixed'!$A$21,VLOOKUP(A81,'337'!$A$6:$AB$188,2,FALSE),IF($C$1='Adj-Mixed'!$A$20,VLOOKUP(A81,'337'!$A$6:$AB$188,11,FALSE),IF($C$1='Adj-Mixed'!$A$19,VLOOKUP(A81,'337'!$A$6:$AB$188,20,FALSE)))))</f>
        <v>55.371089224340842</v>
      </c>
      <c r="C81" s="26">
        <f t="shared" si="15"/>
        <v>985.9057050632174</v>
      </c>
      <c r="D81" s="27">
        <f t="shared" si="16"/>
        <v>0.44444633605924377</v>
      </c>
      <c r="E81" s="27">
        <f>IF(A81&gt;200,"",IF($C$1='Adj-Mixed'!$A$21,VLOOKUP(A81,'337'!$A$7:$AB$188,8,FALSE),IF($C$1='Adj-Mixed'!$A$20,VLOOKUP(A81,'337'!$A$7:$AB$188,17,FALSE),IF($C$1='Adj-Mixed'!$A$19,VLOOKUP(A81,'337'!$A$7:$AB$188,26,FALSE)))))</f>
        <v>2.2499904237408361</v>
      </c>
      <c r="F81" s="27">
        <f t="shared" si="12"/>
        <v>2.2182783951036962</v>
      </c>
      <c r="G81" s="28">
        <f t="shared" si="18"/>
        <v>85.341227283350122</v>
      </c>
      <c r="H81" s="1"/>
      <c r="I81" s="136">
        <f t="shared" si="17"/>
        <v>60.469102935620889</v>
      </c>
      <c r="J81" s="26">
        <f>IF(A81&gt;200,"",C81*'Adj-Barrows'!$C$6)</f>
        <v>1086.847077062175</v>
      </c>
      <c r="K81" s="27">
        <f>IF(A81&gt;200,"",D81*'Adj-Barrows'!$C$7)</f>
        <v>0.39458374954053216</v>
      </c>
      <c r="L81" s="1">
        <f t="shared" si="13"/>
        <v>2.5343162285938963</v>
      </c>
      <c r="M81" s="27">
        <f t="shared" si="14"/>
        <v>2.7544141853985109</v>
      </c>
      <c r="N81" s="31">
        <f t="shared" si="19"/>
        <v>105.96735177488381</v>
      </c>
    </row>
    <row r="82" spans="1:14" x14ac:dyDescent="0.25">
      <c r="A82" s="26">
        <f t="shared" si="11"/>
        <v>100</v>
      </c>
      <c r="B82" s="28">
        <f>IF(A82&gt;200,"",IF($C$1='Adj-Mixed'!$A$21,VLOOKUP(A82,'337'!$A$6:$AB$188,2,FALSE),IF($C$1='Adj-Mixed'!$A$20,VLOOKUP(A82,'337'!$A$6:$AB$188,11,FALSE),IF($C$1='Adj-Mixed'!$A$19,VLOOKUP(A82,'337'!$A$6:$AB$188,20,FALSE)))))</f>
        <v>56.361176782540646</v>
      </c>
      <c r="C82" s="26">
        <f t="shared" si="15"/>
        <v>990.08755819980365</v>
      </c>
      <c r="D82" s="27">
        <f t="shared" si="16"/>
        <v>0.44114027860946836</v>
      </c>
      <c r="E82" s="27">
        <f>IF(A82&gt;200,"",IF($C$1='Adj-Mixed'!$A$21,VLOOKUP(A82,'337'!$A$7:$AB$188,8,FALSE),IF($C$1='Adj-Mixed'!$A$20,VLOOKUP(A82,'337'!$A$7:$AB$188,17,FALSE),IF($C$1='Adj-Mixed'!$A$19,VLOOKUP(A82,'337'!$A$7:$AB$188,26,FALSE)))))</f>
        <v>2.2668526282662973</v>
      </c>
      <c r="F82" s="27">
        <f t="shared" si="12"/>
        <v>2.2443825835189855</v>
      </c>
      <c r="G82" s="28">
        <f t="shared" si="18"/>
        <v>87.585609866869106</v>
      </c>
      <c r="H82" s="1"/>
      <c r="I82" s="136">
        <f t="shared" si="17"/>
        <v>61.560560022377558</v>
      </c>
      <c r="J82" s="26">
        <f>IF(A82&gt;200,"",C82*'Adj-Barrows'!$C$6)</f>
        <v>1091.4570867566727</v>
      </c>
      <c r="K82" s="27">
        <f>IF(A82&gt;200,"",D82*'Adj-Barrows'!$C$7)</f>
        <v>0.39164859980728089</v>
      </c>
      <c r="L82" s="1">
        <f t="shared" si="13"/>
        <v>2.5533092687987944</v>
      </c>
      <c r="M82" s="27">
        <f t="shared" si="14"/>
        <v>2.7868274961119419</v>
      </c>
      <c r="N82" s="31">
        <f t="shared" si="19"/>
        <v>108.75417927099575</v>
      </c>
    </row>
    <row r="83" spans="1:14" x14ac:dyDescent="0.25">
      <c r="A83" s="26">
        <f t="shared" si="11"/>
        <v>101</v>
      </c>
      <c r="B83" s="28">
        <f>IF(A83&gt;200,"",IF($C$1='Adj-Mixed'!$A$21,VLOOKUP(A83,'337'!$A$6:$AB$188,2,FALSE),IF($C$1='Adj-Mixed'!$A$20,VLOOKUP(A83,'337'!$A$6:$AB$188,11,FALSE),IF($C$1='Adj-Mixed'!$A$19,VLOOKUP(A83,'337'!$A$6:$AB$188,20,FALSE)))))</f>
        <v>57.355275389425373</v>
      </c>
      <c r="C83" s="26">
        <f t="shared" si="15"/>
        <v>994.09860688472668</v>
      </c>
      <c r="D83" s="27">
        <f t="shared" si="16"/>
        <v>0.43793923998698359</v>
      </c>
      <c r="E83" s="27">
        <f>IF(A83&gt;200,"",IF($C$1='Adj-Mixed'!$A$21,VLOOKUP(A83,'337'!$A$7:$AB$188,8,FALSE),IF($C$1='Adj-Mixed'!$A$20,VLOOKUP(A83,'337'!$A$7:$AB$188,17,FALSE),IF($C$1='Adj-Mixed'!$A$19,VLOOKUP(A83,'337'!$A$7:$AB$188,26,FALSE)))))</f>
        <v>2.2834217825050844</v>
      </c>
      <c r="F83" s="27">
        <f t="shared" si="12"/>
        <v>2.2699464129185438</v>
      </c>
      <c r="G83" s="28">
        <f t="shared" si="18"/>
        <v>89.855556279787649</v>
      </c>
      <c r="H83" s="1"/>
      <c r="I83" s="136">
        <f t="shared" si="17"/>
        <v>62.656438826664392</v>
      </c>
      <c r="J83" s="26">
        <f>IF(A83&gt;200,"",C83*'Adj-Barrows'!$C$6)</f>
        <v>1095.8788042868327</v>
      </c>
      <c r="K83" s="27">
        <f>IF(A83&gt;200,"",D83*'Adj-Barrows'!$C$7)</f>
        <v>0.38880668680315222</v>
      </c>
      <c r="L83" s="1">
        <f t="shared" si="13"/>
        <v>2.5719722266666856</v>
      </c>
      <c r="M83" s="27">
        <f t="shared" si="14"/>
        <v>2.8185698484184303</v>
      </c>
      <c r="N83" s="31">
        <f t="shared" si="19"/>
        <v>111.57274911941418</v>
      </c>
    </row>
    <row r="84" spans="1:14" x14ac:dyDescent="0.25">
      <c r="A84" s="26">
        <f t="shared" si="11"/>
        <v>102</v>
      </c>
      <c r="B84" s="28">
        <f>IF(A84&gt;200,"",IF($C$1='Adj-Mixed'!$A$21,VLOOKUP(A84,'337'!$A$6:$AB$188,2,FALSE),IF($C$1='Adj-Mixed'!$A$20,VLOOKUP(A84,'337'!$A$6:$AB$188,11,FALSE),IF($C$1='Adj-Mixed'!$A$19,VLOOKUP(A84,'337'!$A$6:$AB$188,20,FALSE)))))</f>
        <v>58.353215182206711</v>
      </c>
      <c r="C84" s="26">
        <f t="shared" si="15"/>
        <v>997.93979278133804</v>
      </c>
      <c r="D84" s="27">
        <f t="shared" si="16"/>
        <v>0.43483849759191973</v>
      </c>
      <c r="E84" s="27">
        <f>IF(A84&gt;200,"",IF($C$1='Adj-Mixed'!$A$21,VLOOKUP(A84,'337'!$A$7:$AB$188,8,FALSE),IF($C$1='Adj-Mixed'!$A$20,VLOOKUP(A84,'337'!$A$7:$AB$188,17,FALSE),IF($C$1='Adj-Mixed'!$A$19,VLOOKUP(A84,'337'!$A$7:$AB$188,26,FALSE)))))</f>
        <v>2.2997043857383206</v>
      </c>
      <c r="F84" s="27">
        <f t="shared" si="12"/>
        <v>2.2949665181620338</v>
      </c>
      <c r="G84" s="28">
        <f t="shared" si="18"/>
        <v>92.150522797949677</v>
      </c>
      <c r="H84" s="1"/>
      <c r="I84" s="136">
        <f t="shared" si="17"/>
        <v>63.756552094392042</v>
      </c>
      <c r="J84" s="26">
        <f>IF(A84&gt;200,"",C84*'Adj-Barrows'!$C$6)</f>
        <v>1100.113267727651</v>
      </c>
      <c r="K84" s="27">
        <f>IF(A84&gt;200,"",D84*'Adj-Barrows'!$C$7)</f>
        <v>0.38605381775837178</v>
      </c>
      <c r="L84" s="1">
        <f t="shared" si="13"/>
        <v>2.590312422777004</v>
      </c>
      <c r="M84" s="27">
        <f t="shared" si="14"/>
        <v>2.8496370638567385</v>
      </c>
      <c r="N84" s="31">
        <f t="shared" si="19"/>
        <v>114.42238618327092</v>
      </c>
    </row>
    <row r="85" spans="1:14" x14ac:dyDescent="0.25">
      <c r="A85" s="26">
        <f t="shared" si="11"/>
        <v>103</v>
      </c>
      <c r="B85" s="28">
        <f>IF(A85&gt;200,"",IF($C$1='Adj-Mixed'!$A$21,VLOOKUP(A85,'337'!$A$6:$AB$188,2,FALSE),IF($C$1='Adj-Mixed'!$A$20,VLOOKUP(A85,'337'!$A$6:$AB$188,11,FALSE),IF($C$1='Adj-Mixed'!$A$19,VLOOKUP(A85,'337'!$A$6:$AB$188,20,FALSE)))))</f>
        <v>59.354827307631602</v>
      </c>
      <c r="C85" s="26">
        <f t="shared" si="15"/>
        <v>1001.6121254248915</v>
      </c>
      <c r="D85" s="27">
        <f t="shared" si="16"/>
        <v>0.43183351221131555</v>
      </c>
      <c r="E85" s="27">
        <f>IF(A85&gt;200,"",IF($C$1='Adj-Mixed'!$A$21,VLOOKUP(A85,'337'!$A$7:$AB$188,8,FALSE),IF($C$1='Adj-Mixed'!$A$20,VLOOKUP(A85,'337'!$A$7:$AB$188,17,FALSE),IF($C$1='Adj-Mixed'!$A$19,VLOOKUP(A85,'337'!$A$7:$AB$188,26,FALSE)))))</f>
        <v>2.3157072615305849</v>
      </c>
      <c r="F85" s="27">
        <f t="shared" si="12"/>
        <v>2.319440472083504</v>
      </c>
      <c r="G85" s="28">
        <f t="shared" si="18"/>
        <v>94.469963270033176</v>
      </c>
      <c r="H85" s="1"/>
      <c r="I85" s="136">
        <f t="shared" si="17"/>
        <v>64.860713684367099</v>
      </c>
      <c r="J85" s="26">
        <f>IF(A85&gt;200,"",C85*'Adj-Barrows'!$C$6)</f>
        <v>1104.1615899750511</v>
      </c>
      <c r="K85" s="27">
        <f>IF(A85&gt;200,"",D85*'Adj-Barrows'!$C$7)</f>
        <v>0.38338596271583358</v>
      </c>
      <c r="L85" s="1">
        <f t="shared" si="13"/>
        <v>2.608337542971551</v>
      </c>
      <c r="M85" s="27">
        <f t="shared" si="14"/>
        <v>2.880026128639086</v>
      </c>
      <c r="N85" s="31">
        <f t="shared" si="19"/>
        <v>117.30241231191</v>
      </c>
    </row>
    <row r="86" spans="1:14" x14ac:dyDescent="0.25">
      <c r="A86" s="26">
        <f t="shared" si="11"/>
        <v>104</v>
      </c>
      <c r="B86" s="28">
        <f>IF(A86&gt;200,"",IF($C$1='Adj-Mixed'!$A$21,VLOOKUP(A86,'337'!$A$6:$AB$188,2,FALSE),IF($C$1='Adj-Mixed'!$A$20,VLOOKUP(A86,'337'!$A$6:$AB$188,11,FALSE),IF($C$1='Adj-Mixed'!$A$19,VLOOKUP(A86,'337'!$A$6:$AB$188,20,FALSE)))))</f>
        <v>60.359943987684801</v>
      </c>
      <c r="C86" s="26">
        <f t="shared" si="15"/>
        <v>1005.1166800531987</v>
      </c>
      <c r="D86" s="27">
        <f t="shared" si="16"/>
        <v>0.42891991995341694</v>
      </c>
      <c r="E86" s="27">
        <f>IF(A86&gt;200,"",IF($C$1='Adj-Mixed'!$A$21,VLOOKUP(A86,'337'!$A$7:$AB$188,8,FALSE),IF($C$1='Adj-Mixed'!$A$20,VLOOKUP(A86,'337'!$A$7:$AB$188,17,FALSE),IF($C$1='Adj-Mixed'!$A$19,VLOOKUP(A86,'337'!$A$7:$AB$188,26,FALSE)))))</f>
        <v>2.3314375329283039</v>
      </c>
      <c r="F86" s="27">
        <f t="shared" si="12"/>
        <v>2.3433667528483171</v>
      </c>
      <c r="G86" s="28">
        <f t="shared" si="18"/>
        <v>96.813330022881487</v>
      </c>
      <c r="H86" s="1"/>
      <c r="I86" s="136">
        <f t="shared" si="17"/>
        <v>65.968738640721526</v>
      </c>
      <c r="J86" s="26">
        <f>IF(A86&gt;200,"",C86*'Adj-Barrows'!$C$6)</f>
        <v>1108.0249563544314</v>
      </c>
      <c r="K86" s="27">
        <f>IF(A86&gt;200,"",D86*'Adj-Barrows'!$C$7)</f>
        <v>0.38079924737029258</v>
      </c>
      <c r="L86" s="1">
        <f t="shared" si="13"/>
        <v>2.6260556104187649</v>
      </c>
      <c r="M86" s="27">
        <f t="shared" si="14"/>
        <v>2.9097351531185618</v>
      </c>
      <c r="N86" s="31">
        <f t="shared" si="19"/>
        <v>120.21214746502856</v>
      </c>
    </row>
    <row r="87" spans="1:14" x14ac:dyDescent="0.25">
      <c r="A87" s="26">
        <f t="shared" si="11"/>
        <v>105</v>
      </c>
      <c r="B87" s="28">
        <f>IF(A87&gt;200,"",IF($C$1='Adj-Mixed'!$A$21,VLOOKUP(A87,'337'!$A$6:$AB$188,2,FALSE),IF($C$1='Adj-Mixed'!$A$20,VLOOKUP(A87,'337'!$A$6:$AB$188,11,FALSE),IF($C$1='Adj-Mixed'!$A$19,VLOOKUP(A87,'337'!$A$6:$AB$188,20,FALSE)))))</f>
        <v>61.368398583112921</v>
      </c>
      <c r="C87" s="26">
        <f t="shared" si="15"/>
        <v>1008.4545954281197</v>
      </c>
      <c r="D87" s="27">
        <f t="shared" si="16"/>
        <v>0.42609352466474326</v>
      </c>
      <c r="E87" s="27">
        <f>IF(A87&gt;200,"",IF($C$1='Adj-Mixed'!$A$21,VLOOKUP(A87,'337'!$A$7:$AB$188,8,FALSE),IF($C$1='Adj-Mixed'!$A$20,VLOOKUP(A87,'337'!$A$7:$AB$188,17,FALSE),IF($C$1='Adj-Mixed'!$A$19,VLOOKUP(A87,'337'!$A$7:$AB$188,26,FALSE)))))</f>
        <v>2.3469025979374245</v>
      </c>
      <c r="F87" s="27">
        <f t="shared" si="12"/>
        <v>2.3667447099121883</v>
      </c>
      <c r="G87" s="28">
        <f t="shared" si="18"/>
        <v>99.18007473279367</v>
      </c>
      <c r="H87" s="1"/>
      <c r="I87" s="136">
        <f t="shared" si="17"/>
        <v>67.080443262940634</v>
      </c>
      <c r="J87" s="26">
        <f>IF(A87&gt;200,"",C87*'Adj-Barrows'!$C$6)</f>
        <v>1111.7046222191107</v>
      </c>
      <c r="K87" s="27">
        <f>IF(A87&gt;200,"",D87*'Adj-Barrows'!$C$7)</f>
        <v>0.37828994633616303</v>
      </c>
      <c r="L87" s="1">
        <f t="shared" si="13"/>
        <v>2.6434749579925696</v>
      </c>
      <c r="M87" s="27">
        <f t="shared" si="14"/>
        <v>2.9387633295208091</v>
      </c>
      <c r="N87" s="31">
        <f t="shared" si="19"/>
        <v>123.15091079454938</v>
      </c>
    </row>
    <row r="88" spans="1:14" x14ac:dyDescent="0.25">
      <c r="A88" s="26">
        <f t="shared" si="11"/>
        <v>106</v>
      </c>
      <c r="B88" s="28">
        <f>IF(A88&gt;200,"",IF($C$1='Adj-Mixed'!$A$21,VLOOKUP(A88,'337'!$A$6:$AB$188,2,FALSE),IF($C$1='Adj-Mixed'!$A$20,VLOOKUP(A88,'337'!$A$6:$AB$188,11,FALSE),IF($C$1='Adj-Mixed'!$A$19,VLOOKUP(A88,'337'!$A$6:$AB$188,20,FALSE)))))</f>
        <v>62.380025654763664</v>
      </c>
      <c r="C88" s="26">
        <f t="shared" si="15"/>
        <v>1011.6270716507429</v>
      </c>
      <c r="D88" s="27">
        <f t="shared" si="16"/>
        <v>0.42335029079898379</v>
      </c>
      <c r="E88" s="27">
        <f>IF(A88&gt;200,"",IF($C$1='Adj-Mixed'!$A$21,VLOOKUP(A88,'337'!$A$7:$AB$188,8,FALSE),IF($C$1='Adj-Mixed'!$A$20,VLOOKUP(A88,'337'!$A$7:$AB$188,17,FALSE),IF($C$1='Adj-Mixed'!$A$19,VLOOKUP(A88,'337'!$A$7:$AB$188,26,FALSE)))))</f>
        <v>2.3621101053520297</v>
      </c>
      <c r="F88" s="27">
        <f t="shared" si="12"/>
        <v>2.3895745287939016</v>
      </c>
      <c r="G88" s="28">
        <f t="shared" si="18"/>
        <v>101.56964926158757</v>
      </c>
      <c r="H88" s="1"/>
      <c r="I88" s="136">
        <f t="shared" si="17"/>
        <v>68.195645173482447</v>
      </c>
      <c r="J88" s="26">
        <f>IF(A88&gt;200,"",C88*'Adj-Barrows'!$C$6)</f>
        <v>1115.2019105418171</v>
      </c>
      <c r="K88" s="27">
        <f>IF(A88&gt;200,"",D88*'Adj-Barrows'!$C$7)</f>
        <v>0.37585447681645556</v>
      </c>
      <c r="L88" s="1">
        <f t="shared" si="13"/>
        <v>2.6606042010465107</v>
      </c>
      <c r="M88" s="27">
        <f t="shared" si="14"/>
        <v>2.9671108882026536</v>
      </c>
      <c r="N88" s="31">
        <f t="shared" si="19"/>
        <v>126.11802168275203</v>
      </c>
    </row>
    <row r="89" spans="1:14" x14ac:dyDescent="0.25">
      <c r="A89" s="26">
        <f t="shared" si="11"/>
        <v>107</v>
      </c>
      <c r="B89" s="28">
        <f>IF(A89&gt;200,"",IF($C$1='Adj-Mixed'!$A$21,VLOOKUP(A89,'337'!$A$6:$AB$188,2,FALSE),IF($C$1='Adj-Mixed'!$A$20,VLOOKUP(A89,'337'!$A$6:$AB$188,11,FALSE),IF($C$1='Adj-Mixed'!$A$19,VLOOKUP(A89,'337'!$A$6:$AB$188,20,FALSE)))))</f>
        <v>63.394661022736585</v>
      </c>
      <c r="C89" s="26">
        <f t="shared" si="15"/>
        <v>1014.6353679729216</v>
      </c>
      <c r="D89" s="27">
        <f t="shared" si="16"/>
        <v>0.42068633670848637</v>
      </c>
      <c r="E89" s="27">
        <f>IF(A89&gt;200,"",IF($C$1='Adj-Mixed'!$A$21,VLOOKUP(A89,'337'!$A$7:$AB$188,8,FALSE),IF($C$1='Adj-Mixed'!$A$20,VLOOKUP(A89,'337'!$A$7:$AB$188,17,FALSE),IF($C$1='Adj-Mixed'!$A$19,VLOOKUP(A89,'337'!$A$7:$AB$188,26,FALSE)))))</f>
        <v>2.3770679310009246</v>
      </c>
      <c r="F89" s="27">
        <f t="shared" si="12"/>
        <v>2.4118571948677543</v>
      </c>
      <c r="G89" s="28">
        <f t="shared" si="18"/>
        <v>103.98150645645532</v>
      </c>
      <c r="H89" s="1"/>
      <c r="I89" s="136">
        <f t="shared" si="17"/>
        <v>69.314163382984603</v>
      </c>
      <c r="J89" s="26">
        <f>IF(A89&gt;200,"",C89*'Adj-Barrows'!$C$6)</f>
        <v>1118.5182095021596</v>
      </c>
      <c r="K89" s="27">
        <f>IF(A89&gt;200,"",D89*'Adj-Barrows'!$C$7)</f>
        <v>0.3734893926468964</v>
      </c>
      <c r="L89" s="1">
        <f t="shared" si="13"/>
        <v>2.6774522106586787</v>
      </c>
      <c r="M89" s="27">
        <f t="shared" si="14"/>
        <v>2.9947790526935441</v>
      </c>
      <c r="N89" s="31">
        <f t="shared" si="19"/>
        <v>129.11280073544557</v>
      </c>
    </row>
    <row r="90" spans="1:14" x14ac:dyDescent="0.25">
      <c r="A90" s="26">
        <f t="shared" si="11"/>
        <v>108</v>
      </c>
      <c r="B90" s="28">
        <f>IF(A90&gt;200,"",IF($C$1='Adj-Mixed'!$A$21,VLOOKUP(A90,'337'!$A$6:$AB$188,2,FALSE),IF($C$1='Adj-Mixed'!$A$20,VLOOKUP(A90,'337'!$A$6:$AB$188,11,FALSE),IF($C$1='Adj-Mixed'!$A$19,VLOOKUP(A90,'337'!$A$6:$AB$188,20,FALSE)))))</f>
        <v>64.412141823344825</v>
      </c>
      <c r="C90" s="26">
        <f t="shared" si="15"/>
        <v>1017.4808006082401</v>
      </c>
      <c r="D90" s="27">
        <f t="shared" si="16"/>
        <v>0.41809792833099119</v>
      </c>
      <c r="E90" s="27">
        <f>IF(A90&gt;200,"",IF($C$1='Adj-Mixed'!$A$21,VLOOKUP(A90,'337'!$A$7:$AB$188,8,FALSE),IF($C$1='Adj-Mixed'!$A$20,VLOOKUP(A90,'337'!$A$7:$AB$188,17,FALSE),IF($C$1='Adj-Mixed'!$A$19,VLOOKUP(A90,'337'!$A$7:$AB$188,26,FALSE)))))</f>
        <v>2.391784154472874</v>
      </c>
      <c r="F90" s="27">
        <f t="shared" si="12"/>
        <v>2.4335944563751624</v>
      </c>
      <c r="G90" s="28">
        <f t="shared" si="18"/>
        <v>106.41510091283048</v>
      </c>
      <c r="H90" s="1"/>
      <c r="I90" s="136">
        <f t="shared" si="17"/>
        <v>70.435818353058067</v>
      </c>
      <c r="J90" s="26">
        <f>IF(A90&gt;200,"",C90*'Adj-Barrows'!$C$6)</f>
        <v>1121.6549700734711</v>
      </c>
      <c r="K90" s="27">
        <f>IF(A90&gt;200,"",D90*'Adj-Barrows'!$C$7)</f>
        <v>0.3711913786909482</v>
      </c>
      <c r="L90" s="1">
        <f t="shared" si="13"/>
        <v>2.6940280874157754</v>
      </c>
      <c r="M90" s="27">
        <f t="shared" si="14"/>
        <v>3.0217699937674318</v>
      </c>
      <c r="N90" s="31">
        <f t="shared" si="19"/>
        <v>132.13457072921301</v>
      </c>
    </row>
    <row r="91" spans="1:14" x14ac:dyDescent="0.25">
      <c r="A91" s="26">
        <f t="shared" si="11"/>
        <v>109</v>
      </c>
      <c r="B91" s="28">
        <f>IF(A91&gt;200,"",IF($C$1='Adj-Mixed'!$A$21,VLOOKUP(A91,'337'!$A$6:$AB$188,2,FALSE),IF($C$1='Adj-Mixed'!$A$20,VLOOKUP(A91,'337'!$A$6:$AB$188,11,FALSE),IF($C$1='Adj-Mixed'!$A$19,VLOOKUP(A91,'337'!$A$6:$AB$188,20,FALSE)))))</f>
        <v>65.432306563889369</v>
      </c>
      <c r="C91" s="26">
        <f t="shared" si="15"/>
        <v>1020.1647405445442</v>
      </c>
      <c r="D91" s="27">
        <f t="shared" si="16"/>
        <v>0.41558147324545669</v>
      </c>
      <c r="E91" s="27">
        <f>IF(A91&gt;200,"",IF($C$1='Adj-Mixed'!$A$21,VLOOKUP(A91,'337'!$A$7:$AB$188,8,FALSE),IF($C$1='Adj-Mixed'!$A$20,VLOOKUP(A91,'337'!$A$7:$AB$188,17,FALSE),IF($C$1='Adj-Mixed'!$A$19,VLOOKUP(A91,'337'!$A$7:$AB$188,26,FALSE)))))</f>
        <v>2.4062670363781247</v>
      </c>
      <c r="F91" s="27">
        <f t="shared" si="12"/>
        <v>2.4547887868475788</v>
      </c>
      <c r="G91" s="28">
        <f t="shared" si="18"/>
        <v>108.86988969967805</v>
      </c>
      <c r="H91" s="1"/>
      <c r="I91" s="136">
        <f t="shared" si="17"/>
        <v>71.560432056669441</v>
      </c>
      <c r="J91" s="26">
        <f>IF(A91&gt;200,"",C91*'Adj-Barrows'!$C$6)</f>
        <v>1124.6137036113762</v>
      </c>
      <c r="K91" s="27">
        <f>IF(A91&gt;200,"",D91*'Adj-Barrows'!$C$7)</f>
        <v>0.36895724556251541</v>
      </c>
      <c r="L91" s="1">
        <f t="shared" si="13"/>
        <v>2.7103411358012264</v>
      </c>
      <c r="M91" s="27">
        <f t="shared" si="14"/>
        <v>3.0480867827836811</v>
      </c>
      <c r="N91" s="31">
        <f t="shared" si="19"/>
        <v>135.18265751199669</v>
      </c>
    </row>
    <row r="92" spans="1:14" x14ac:dyDescent="0.25">
      <c r="A92" s="26">
        <f t="shared" si="11"/>
        <v>110</v>
      </c>
      <c r="B92" s="28">
        <f>IF(A92&gt;200,"",IF($C$1='Adj-Mixed'!$A$21,VLOOKUP(A92,'337'!$A$6:$AB$188,2,FALSE),IF($C$1='Adj-Mixed'!$A$20,VLOOKUP(A92,'337'!$A$6:$AB$188,11,FALSE),IF($C$1='Adj-Mixed'!$A$19,VLOOKUP(A92,'337'!$A$6:$AB$188,20,FALSE)))))</f>
        <v>66.454995175250559</v>
      </c>
      <c r="C92" s="26">
        <f t="shared" si="15"/>
        <v>1022.6886113611897</v>
      </c>
      <c r="D92" s="27">
        <f t="shared" si="16"/>
        <v>0.41313351507278312</v>
      </c>
      <c r="E92" s="27">
        <f>IF(A92&gt;200,"",IF($C$1='Adj-Mixed'!$A$21,VLOOKUP(A92,'337'!$A$7:$AB$188,8,FALSE),IF($C$1='Adj-Mixed'!$A$20,VLOOKUP(A92,'337'!$A$7:$AB$188,17,FALSE),IF($C$1='Adj-Mixed'!$A$19,VLOOKUP(A92,'337'!$A$7:$AB$188,26,FALSE)))))</f>
        <v>2.4205249961960278</v>
      </c>
      <c r="F92" s="27">
        <f t="shared" si="12"/>
        <v>2.4754433471247648</v>
      </c>
      <c r="G92" s="28">
        <f t="shared" si="18"/>
        <v>111.34533304680282</v>
      </c>
      <c r="H92" s="1"/>
      <c r="I92" s="136">
        <f t="shared" si="17"/>
        <v>72.687828036116997</v>
      </c>
      <c r="J92" s="26">
        <f>IF(A92&gt;200,"",C92*'Adj-Barrows'!$C$6)</f>
        <v>1127.3959794475604</v>
      </c>
      <c r="K92" s="27">
        <f>IF(A92&gt;200,"",D92*'Adj-Barrows'!$C$7)</f>
        <v>0.36678392465485204</v>
      </c>
      <c r="L92" s="1">
        <f t="shared" si="13"/>
        <v>2.726400839243464</v>
      </c>
      <c r="M92" s="27">
        <f t="shared" si="14"/>
        <v>3.0737333445255355</v>
      </c>
      <c r="N92" s="31">
        <f t="shared" si="19"/>
        <v>138.25639085652222</v>
      </c>
    </row>
    <row r="93" spans="1:14" x14ac:dyDescent="0.25">
      <c r="A93" s="26">
        <f t="shared" si="11"/>
        <v>111</v>
      </c>
      <c r="B93" s="28">
        <f>IF(A93&gt;200,"",IF($C$1='Adj-Mixed'!$A$21,VLOOKUP(A93,'337'!$A$6:$AB$188,2,FALSE),IF($C$1='Adj-Mixed'!$A$20,VLOOKUP(A93,'337'!$A$6:$AB$188,11,FALSE),IF($C$1='Adj-Mixed'!$A$19,VLOOKUP(A93,'337'!$A$6:$AB$188,20,FALSE)))))</f>
        <v>67.480049062303436</v>
      </c>
      <c r="C93" s="26">
        <f t="shared" si="15"/>
        <v>1025.0538870528771</v>
      </c>
      <c r="D93" s="27">
        <f t="shared" si="16"/>
        <v>0.41075072819815611</v>
      </c>
      <c r="E93" s="27">
        <f>IF(A93&gt;200,"",IF($C$1='Adj-Mixed'!$A$21,VLOOKUP(A93,'337'!$A$7:$AB$188,8,FALSE),IF($C$1='Adj-Mixed'!$A$20,VLOOKUP(A93,'337'!$A$7:$AB$188,17,FALSE),IF($C$1='Adj-Mixed'!$A$19,VLOOKUP(A93,'337'!$A$7:$AB$188,26,FALSE)))))</f>
        <v>2.4345665907561722</v>
      </c>
      <c r="F93" s="27">
        <f t="shared" si="12"/>
        <v>2.4955619471436852</v>
      </c>
      <c r="G93" s="28">
        <f t="shared" si="18"/>
        <v>113.84089499394651</v>
      </c>
      <c r="H93" s="1"/>
      <c r="I93" s="136">
        <f t="shared" si="17"/>
        <v>73.817831458607799</v>
      </c>
      <c r="J93" s="26">
        <f>IF(A93&gt;200,"",C93*'Adj-Barrows'!$C$6)</f>
        <v>1130.0034224907995</v>
      </c>
      <c r="K93" s="27">
        <f>IF(A93&gt;200,"",D93*'Adj-Barrows'!$C$7)</f>
        <v>0.36466846345500775</v>
      </c>
      <c r="L93" s="1">
        <f t="shared" si="13"/>
        <v>2.742216835877771</v>
      </c>
      <c r="M93" s="27">
        <f t="shared" si="14"/>
        <v>3.0987144097537724</v>
      </c>
      <c r="N93" s="31">
        <f t="shared" si="19"/>
        <v>141.35510526627598</v>
      </c>
    </row>
    <row r="94" spans="1:14" x14ac:dyDescent="0.25">
      <c r="A94" s="26">
        <f t="shared" si="11"/>
        <v>112</v>
      </c>
      <c r="B94" s="28">
        <f>IF(A94&gt;200,"",IF($C$1='Adj-Mixed'!$A$21,VLOOKUP(A94,'337'!$A$6:$AB$188,2,FALSE),IF($C$1='Adj-Mixed'!$A$20,VLOOKUP(A94,'337'!$A$6:$AB$188,11,FALSE),IF($C$1='Adj-Mixed'!$A$19,VLOOKUP(A94,'337'!$A$6:$AB$188,20,FALSE)))))</f>
        <v>68.507311152166523</v>
      </c>
      <c r="C94" s="26">
        <f t="shared" si="15"/>
        <v>1027.2620898630862</v>
      </c>
      <c r="D94" s="27">
        <f t="shared" si="16"/>
        <v>0.40842991279356078</v>
      </c>
      <c r="E94" s="27">
        <f>IF(A94&gt;200,"",IF($C$1='Adj-Mixed'!$A$21,VLOOKUP(A94,'337'!$A$7:$AB$188,8,FALSE),IF($C$1='Adj-Mixed'!$A$20,VLOOKUP(A94,'337'!$A$7:$AB$188,17,FALSE),IF($C$1='Adj-Mixed'!$A$19,VLOOKUP(A94,'337'!$A$7:$AB$188,26,FALSE)))))</f>
        <v>2.4484004933924757</v>
      </c>
      <c r="F94" s="27">
        <f t="shared" si="12"/>
        <v>2.5151490076641658</v>
      </c>
      <c r="G94" s="28">
        <f t="shared" si="18"/>
        <v>116.35604400161067</v>
      </c>
      <c r="H94" s="1"/>
      <c r="I94" s="136">
        <f t="shared" si="17"/>
        <v>74.950269169446372</v>
      </c>
      <c r="J94" s="26">
        <f>IF(A94&gt;200,"",C94*'Adj-Barrows'!$C$6)</f>
        <v>1132.4377108385704</v>
      </c>
      <c r="K94" s="27">
        <f>IF(A94&gt;200,"",D94*'Adj-Barrows'!$C$7)</f>
        <v>0.36260802112476748</v>
      </c>
      <c r="L94" s="1">
        <f t="shared" si="13"/>
        <v>2.7577988950661307</v>
      </c>
      <c r="M94" s="27">
        <f t="shared" si="14"/>
        <v>3.1230354676818282</v>
      </c>
      <c r="N94" s="31">
        <f t="shared" si="19"/>
        <v>144.47814073395782</v>
      </c>
    </row>
    <row r="95" spans="1:14" x14ac:dyDescent="0.25">
      <c r="A95" s="26">
        <f t="shared" si="11"/>
        <v>113</v>
      </c>
      <c r="B95" s="28">
        <f>IF(A95&gt;200,"",IF($C$1='Adj-Mixed'!$A$21,VLOOKUP(A95,'337'!$A$6:$AB$188,2,FALSE),IF($C$1='Adj-Mixed'!$A$20,VLOOKUP(A95,'337'!$A$6:$AB$188,11,FALSE),IF($C$1='Adj-Mixed'!$A$19,VLOOKUP(A95,'337'!$A$6:$AB$188,20,FALSE)))))</f>
        <v>69.536625940295579</v>
      </c>
      <c r="C95" s="26">
        <f t="shared" si="15"/>
        <v>1029.3147881290565</v>
      </c>
      <c r="D95" s="27">
        <f t="shared" si="16"/>
        <v>0.40616799011989402</v>
      </c>
      <c r="E95" s="27">
        <f>IF(A95&gt;200,"",IF($C$1='Adj-Mixed'!$A$21,VLOOKUP(A95,'337'!$A$7:$AB$188,8,FALSE),IF($C$1='Adj-Mixed'!$A$20,VLOOKUP(A95,'337'!$A$7:$AB$188,17,FALSE),IF($C$1='Adj-Mixed'!$A$19,VLOOKUP(A95,'337'!$A$7:$AB$188,26,FALSE)))))</f>
        <v>2.4620354738068273</v>
      </c>
      <c r="F95" s="27">
        <f t="shared" si="12"/>
        <v>2.5342095220876959</v>
      </c>
      <c r="G95" s="28">
        <f t="shared" si="18"/>
        <v>118.89025352369836</v>
      </c>
      <c r="H95" s="1"/>
      <c r="I95" s="136">
        <f t="shared" si="17"/>
        <v>76.084969742847761</v>
      </c>
      <c r="J95" s="26">
        <f>IF(A95&gt;200,"",C95*'Adj-Barrows'!$C$6)</f>
        <v>1134.7005734013926</v>
      </c>
      <c r="K95" s="27">
        <f>IF(A95&gt;200,"",D95*'Adj-Barrows'!$C$7)</f>
        <v>0.36059986432982161</v>
      </c>
      <c r="L95" s="1">
        <f t="shared" si="13"/>
        <v>2.7731568947162804</v>
      </c>
      <c r="M95" s="27">
        <f t="shared" si="14"/>
        <v>3.1467027185665883</v>
      </c>
      <c r="N95" s="31">
        <f t="shared" si="19"/>
        <v>147.6248434525244</v>
      </c>
    </row>
    <row r="96" spans="1:14" x14ac:dyDescent="0.25">
      <c r="A96" s="26">
        <f t="shared" si="11"/>
        <v>114</v>
      </c>
      <c r="B96" s="28">
        <f>IF(A96&gt;200,"",IF($C$1='Adj-Mixed'!$A$21,VLOOKUP(A96,'337'!$A$6:$AB$188,2,FALSE),IF($C$1='Adj-Mixed'!$A$20,VLOOKUP(A96,'337'!$A$6:$AB$188,11,FALSE),IF($C$1='Adj-Mixed'!$A$19,VLOOKUP(A96,'337'!$A$6:$AB$188,20,FALSE)))))</f>
        <v>70.567839534435805</v>
      </c>
      <c r="C96" s="26">
        <f t="shared" si="15"/>
        <v>1031.2135941402262</v>
      </c>
      <c r="D96" s="27">
        <f t="shared" si="16"/>
        <v>0.40396199808931904</v>
      </c>
      <c r="E96" s="27">
        <f>IF(A96&gt;200,"",IF($C$1='Adj-Mixed'!$A$21,VLOOKUP(A96,'337'!$A$7:$AB$188,8,FALSE),IF($C$1='Adj-Mixed'!$A$20,VLOOKUP(A96,'337'!$A$7:$AB$188,17,FALSE),IF($C$1='Adj-Mixed'!$A$19,VLOOKUP(A96,'337'!$A$7:$AB$188,26,FALSE)))))</f>
        <v>2.4754803786738684</v>
      </c>
      <c r="F96" s="27">
        <f t="shared" si="12"/>
        <v>2.5527490185158883</v>
      </c>
      <c r="G96" s="28">
        <f t="shared" si="18"/>
        <v>121.44300254221424</v>
      </c>
      <c r="H96" s="1"/>
      <c r="I96" s="136">
        <f t="shared" si="17"/>
        <v>77.221763530389765</v>
      </c>
      <c r="J96" s="26">
        <f>IF(A96&gt;200,"",C96*'Adj-Barrows'!$C$6)</f>
        <v>1136.7937875420041</v>
      </c>
      <c r="K96" s="27">
        <f>IF(A96&gt;200,"",D96*'Adj-Barrows'!$C$7)</f>
        <v>0.3586413632999812</v>
      </c>
      <c r="L96" s="1">
        <f t="shared" si="13"/>
        <v>2.7883007994355693</v>
      </c>
      <c r="M96" s="27">
        <f t="shared" si="14"/>
        <v>3.1697230265967589</v>
      </c>
      <c r="N96" s="31">
        <f t="shared" si="19"/>
        <v>150.79456647912116</v>
      </c>
    </row>
    <row r="97" spans="1:14" x14ac:dyDescent="0.25">
      <c r="A97" s="26">
        <f t="shared" si="11"/>
        <v>115</v>
      </c>
      <c r="B97" s="28">
        <f>IF(A97&gt;200,"",IF($C$1='Adj-Mixed'!$A$21,VLOOKUP(A97,'337'!$A$6:$AB$188,2,FALSE),IF($C$1='Adj-Mixed'!$A$20,VLOOKUP(A97,'337'!$A$6:$AB$188,11,FALSE),IF($C$1='Adj-Mixed'!$A$19,VLOOKUP(A97,'337'!$A$6:$AB$188,20,FALSE)))))</f>
        <v>71.600799696449656</v>
      </c>
      <c r="C97" s="26">
        <f t="shared" si="15"/>
        <v>1032.9601620138505</v>
      </c>
      <c r="D97" s="27">
        <f t="shared" si="16"/>
        <v>0.40180908707040247</v>
      </c>
      <c r="E97" s="27">
        <f>IF(A97&gt;200,"",IF($C$1='Adj-Mixed'!$A$21,VLOOKUP(A97,'337'!$A$7:$AB$188,8,FALSE),IF($C$1='Adj-Mixed'!$A$20,VLOOKUP(A97,'337'!$A$7:$AB$188,17,FALSE),IF($C$1='Adj-Mixed'!$A$19,VLOOKUP(A97,'337'!$A$7:$AB$188,26,FALSE)))))</f>
        <v>2.4887441130090378</v>
      </c>
      <c r="F97" s="27">
        <f t="shared" si="12"/>
        <v>2.5707735221848327</v>
      </c>
      <c r="G97" s="28">
        <f t="shared" si="18"/>
        <v>124.01377606439908</v>
      </c>
      <c r="H97" s="1"/>
      <c r="I97" s="136">
        <f t="shared" si="17"/>
        <v>78.360482707123239</v>
      </c>
      <c r="J97" s="26">
        <f>IF(A97&gt;200,"",C97*'Adj-Barrows'!$C$6)</f>
        <v>1138.7191767334762</v>
      </c>
      <c r="K97" s="27">
        <f>IF(A97&gt;200,"",D97*'Adj-Barrows'!$C$7)</f>
        <v>0.35672998810493856</v>
      </c>
      <c r="L97" s="1">
        <f t="shared" si="13"/>
        <v>2.8032406395445286</v>
      </c>
      <c r="M97" s="27">
        <f t="shared" si="14"/>
        <v>3.1921038732479685</v>
      </c>
      <c r="N97" s="31">
        <f t="shared" si="19"/>
        <v>153.98667035236912</v>
      </c>
    </row>
    <row r="98" spans="1:14" x14ac:dyDescent="0.25">
      <c r="A98" s="26">
        <f t="shared" si="11"/>
        <v>116</v>
      </c>
      <c r="B98" s="28">
        <f>IF(A98&gt;200,"",IF($C$1='Adj-Mixed'!$A$21,VLOOKUP(A98,'337'!$A$6:$AB$188,2,FALSE),IF($C$1='Adj-Mixed'!$A$20,VLOOKUP(A98,'337'!$A$6:$AB$188,11,FALSE),IF($C$1='Adj-Mixed'!$A$19,VLOOKUP(A98,'337'!$A$6:$AB$188,20,FALSE)))))</f>
        <v>72.63535588203689</v>
      </c>
      <c r="C98" s="26">
        <f t="shared" si="15"/>
        <v>1034.5561855872347</v>
      </c>
      <c r="D98" s="27">
        <f t="shared" si="16"/>
        <v>0.39970651591798884</v>
      </c>
      <c r="E98" s="27">
        <f>IF(A98&gt;200,"",IF($C$1='Adj-Mixed'!$A$21,VLOOKUP(A98,'337'!$A$7:$AB$188,8,FALSE),IF($C$1='Adj-Mixed'!$A$20,VLOOKUP(A98,'337'!$A$7:$AB$188,17,FALSE),IF($C$1='Adj-Mixed'!$A$19,VLOOKUP(A98,'337'!$A$7:$AB$188,26,FALSE)))))</f>
        <v>2.5018356223274041</v>
      </c>
      <c r="F98" s="27">
        <f t="shared" si="12"/>
        <v>2.5882895184013046</v>
      </c>
      <c r="G98" s="28">
        <f t="shared" si="18"/>
        <v>126.60206558280039</v>
      </c>
      <c r="H98" s="1"/>
      <c r="I98" s="136">
        <f t="shared" si="17"/>
        <v>79.500961315358879</v>
      </c>
      <c r="J98" s="26">
        <f>IF(A98&gt;200,"",C98*'Adj-Barrows'!$C$6)</f>
        <v>1140.4786082356436</v>
      </c>
      <c r="K98" s="27">
        <f>IF(A98&gt;200,"",D98*'Adj-Barrows'!$C$7)</f>
        <v>0.35486330512955111</v>
      </c>
      <c r="L98" s="1">
        <f t="shared" si="13"/>
        <v>2.8179864909811587</v>
      </c>
      <c r="M98" s="27">
        <f t="shared" si="14"/>
        <v>3.2138533112610368</v>
      </c>
      <c r="N98" s="31">
        <f t="shared" si="19"/>
        <v>157.20052366363015</v>
      </c>
    </row>
    <row r="99" spans="1:14" x14ac:dyDescent="0.25">
      <c r="A99" s="26">
        <f t="shared" si="11"/>
        <v>117</v>
      </c>
      <c r="B99" s="28">
        <f>IF(A99&gt;200,"",IF($C$1='Adj-Mixed'!$A$21,VLOOKUP(A99,'337'!$A$6:$AB$188,2,FALSE),IF($C$1='Adj-Mixed'!$A$20,VLOOKUP(A99,'337'!$A$6:$AB$188,11,FALSE),IF($C$1='Adj-Mixed'!$A$19,VLOOKUP(A99,'337'!$A$6:$AB$188,20,FALSE)))))</f>
        <v>73.671359278368115</v>
      </c>
      <c r="C99" s="26">
        <f t="shared" si="15"/>
        <v>1036.0033963312248</v>
      </c>
      <c r="D99" s="27">
        <f t="shared" si="16"/>
        <v>0.39765164821289023</v>
      </c>
      <c r="E99" s="27">
        <f>IF(A99&gt;200,"",IF($C$1='Adj-Mixed'!$A$21,VLOOKUP(A99,'337'!$A$7:$AB$188,8,FALSE),IF($C$1='Adj-Mixed'!$A$20,VLOOKUP(A99,'337'!$A$7:$AB$188,17,FALSE),IF($C$1='Adj-Mixed'!$A$19,VLOOKUP(A99,'337'!$A$7:$AB$188,26,FALSE)))))</f>
        <v>2.5147638756035819</v>
      </c>
      <c r="F99" s="27">
        <f t="shared" si="12"/>
        <v>2.6053039160963851</v>
      </c>
      <c r="G99" s="28">
        <f t="shared" si="18"/>
        <v>129.20736949889678</v>
      </c>
      <c r="H99" s="1"/>
      <c r="I99" s="136">
        <f t="shared" si="17"/>
        <v>80.643035306153848</v>
      </c>
      <c r="J99" s="26">
        <f>IF(A99&gt;200,"",C99*'Adj-Barrows'!$C$6)</f>
        <v>1142.0739907949705</v>
      </c>
      <c r="K99" s="27">
        <f>IF(A99&gt;200,"",D99*'Adj-Barrows'!$C$7)</f>
        <v>0.35303897373540172</v>
      </c>
      <c r="L99" s="1">
        <f t="shared" si="13"/>
        <v>2.8325484561075331</v>
      </c>
      <c r="M99" s="27">
        <f t="shared" si="14"/>
        <v>3.2349799193868627</v>
      </c>
      <c r="N99" s="31">
        <f t="shared" si="19"/>
        <v>160.43550358301701</v>
      </c>
    </row>
    <row r="100" spans="1:14" x14ac:dyDescent="0.25">
      <c r="A100" s="26">
        <f t="shared" si="11"/>
        <v>118</v>
      </c>
      <c r="B100" s="28">
        <f>IF(A100&gt;200,"",IF($C$1='Adj-Mixed'!$A$21,VLOOKUP(A100,'337'!$A$6:$AB$188,2,FALSE),IF($C$1='Adj-Mixed'!$A$20,VLOOKUP(A100,'337'!$A$6:$AB$188,11,FALSE),IF($C$1='Adj-Mixed'!$A$19,VLOOKUP(A100,'337'!$A$6:$AB$188,20,FALSE)))))</f>
        <v>74.708662839653115</v>
      </c>
      <c r="C100" s="26">
        <f t="shared" si="15"/>
        <v>1037.3035612850003</v>
      </c>
      <c r="D100" s="27">
        <f t="shared" si="16"/>
        <v>0.3956419486956716</v>
      </c>
      <c r="E100" s="27">
        <f>IF(A100&gt;200,"",IF($C$1='Adj-Mixed'!$A$21,VLOOKUP(A100,'337'!$A$7:$AB$188,8,FALSE),IF($C$1='Adj-Mixed'!$A$20,VLOOKUP(A100,'337'!$A$7:$AB$188,17,FALSE),IF($C$1='Adj-Mixed'!$A$19,VLOOKUP(A100,'337'!$A$7:$AB$188,26,FALSE)))))</f>
        <v>2.5275378490494735</v>
      </c>
      <c r="F100" s="27">
        <f t="shared" si="12"/>
        <v>2.6218240121016483</v>
      </c>
      <c r="G100" s="28">
        <f t="shared" si="18"/>
        <v>131.82919351099844</v>
      </c>
      <c r="H100" s="1"/>
      <c r="I100" s="136">
        <f t="shared" si="17"/>
        <v>81.786542578521747</v>
      </c>
      <c r="J100" s="26">
        <f>IF(A100&gt;200,"",C100*'Adj-Barrows'!$C$6)</f>
        <v>1143.5072723678963</v>
      </c>
      <c r="K100" s="27">
        <f>IF(A100&gt;200,"",D100*'Adj-Barrows'!$C$7)</f>
        <v>0.3512547430946788</v>
      </c>
      <c r="L100" s="1">
        <f t="shared" si="13"/>
        <v>2.8469366454375691</v>
      </c>
      <c r="M100" s="27">
        <f t="shared" si="14"/>
        <v>3.2554927580285233</v>
      </c>
      <c r="N100" s="31">
        <f t="shared" si="19"/>
        <v>163.69099634104552</v>
      </c>
    </row>
    <row r="101" spans="1:14" x14ac:dyDescent="0.25">
      <c r="A101" s="26">
        <f t="shared" si="11"/>
        <v>119</v>
      </c>
      <c r="B101" s="28">
        <f>IF(A101&gt;200,"",IF($C$1='Adj-Mixed'!$A$21,VLOOKUP(A101,'337'!$A$6:$AB$188,2,FALSE),IF($C$1='Adj-Mixed'!$A$20,VLOOKUP(A101,'337'!$A$6:$AB$188,11,FALSE),IF($C$1='Adj-Mixed'!$A$19,VLOOKUP(A101,'337'!$A$6:$AB$188,20,FALSE)))))</f>
        <v>75.7471213206681</v>
      </c>
      <c r="C101" s="26">
        <f t="shared" si="15"/>
        <v>1038.4584810149845</v>
      </c>
      <c r="D101" s="27">
        <f t="shared" si="16"/>
        <v>0.3936749798808552</v>
      </c>
      <c r="E101" s="27">
        <f>IF(A101&gt;200,"",IF($C$1='Adj-Mixed'!$A$21,VLOOKUP(A101,'337'!$A$7:$AB$188,8,FALSE),IF($C$1='Adj-Mixed'!$A$20,VLOOKUP(A101,'337'!$A$7:$AB$188,17,FALSE),IF($C$1='Adj-Mixed'!$A$19,VLOOKUP(A101,'337'!$A$7:$AB$188,26,FALSE)))))</f>
        <v>2.5401665107156357</v>
      </c>
      <c r="F101" s="27">
        <f t="shared" si="12"/>
        <v>2.6378574562428927</v>
      </c>
      <c r="G101" s="28">
        <f t="shared" si="18"/>
        <v>134.46705096724133</v>
      </c>
      <c r="H101" s="1"/>
      <c r="I101" s="136">
        <f t="shared" si="17"/>
        <v>82.931323016392525</v>
      </c>
      <c r="J101" s="26">
        <f>IF(A101&gt;200,"",C101*'Adj-Barrows'!$C$6)</f>
        <v>1144.7804378707719</v>
      </c>
      <c r="K101" s="27">
        <f>IF(A101&gt;200,"",D101*'Adj-Barrows'!$C$7)</f>
        <v>0.34950844918423446</v>
      </c>
      <c r="L101" s="1">
        <f t="shared" si="13"/>
        <v>2.86116116029251</v>
      </c>
      <c r="M101" s="27">
        <f t="shared" si="14"/>
        <v>3.2754013258985055</v>
      </c>
      <c r="N101" s="31">
        <f t="shared" si="19"/>
        <v>166.96639766694403</v>
      </c>
    </row>
    <row r="102" spans="1:14" x14ac:dyDescent="0.25">
      <c r="A102" s="26">
        <f t="shared" si="11"/>
        <v>120</v>
      </c>
      <c r="B102" s="28">
        <f>IF(A102&gt;200,"",IF($C$1='Adj-Mixed'!$A$21,VLOOKUP(A102,'337'!$A$6:$AB$188,2,FALSE),IF($C$1='Adj-Mixed'!$A$20,VLOOKUP(A102,'337'!$A$6:$AB$188,11,FALSE),IF($C$1='Adj-Mixed'!$A$19,VLOOKUP(A102,'337'!$A$6:$AB$188,20,FALSE)))))</f>
        <v>76.786591308267006</v>
      </c>
      <c r="C102" s="26">
        <f t="shared" si="15"/>
        <v>1039.4699875989063</v>
      </c>
      <c r="D102" s="27">
        <f t="shared" si="16"/>
        <v>0.39174839883810786</v>
      </c>
      <c r="E102" s="27">
        <f>IF(A102&gt;200,"",IF($C$1='Adj-Mixed'!$A$21,VLOOKUP(A102,'337'!$A$7:$AB$188,8,FALSE),IF($C$1='Adj-Mixed'!$A$20,VLOOKUP(A102,'337'!$A$7:$AB$188,17,FALSE),IF($C$1='Adj-Mixed'!$A$19,VLOOKUP(A102,'337'!$A$7:$AB$188,26,FALSE)))))</f>
        <v>2.5526588059221536</v>
      </c>
      <c r="F102" s="27">
        <f t="shared" si="12"/>
        <v>2.6534122173361396</v>
      </c>
      <c r="G102" s="28">
        <f t="shared" si="18"/>
        <v>137.12046318457749</v>
      </c>
      <c r="H102" s="1"/>
      <c r="I102" s="136">
        <f t="shared" si="17"/>
        <v>84.077218523350041</v>
      </c>
      <c r="J102" s="26">
        <f>IF(A102&gt;200,"",C102*'Adj-Barrows'!$C$6)</f>
        <v>1145.89550695752</v>
      </c>
      <c r="K102" s="27">
        <f>IF(A102&gt;200,"",D102*'Adj-Barrows'!$C$7)</f>
        <v>0.34779801192789128</v>
      </c>
      <c r="L102" s="1">
        <f t="shared" si="13"/>
        <v>2.8752320763907337</v>
      </c>
      <c r="M102" s="27">
        <f t="shared" si="14"/>
        <v>3.2947155177962824</v>
      </c>
      <c r="N102" s="31">
        <f t="shared" si="19"/>
        <v>170.26111318474031</v>
      </c>
    </row>
    <row r="103" spans="1:14" x14ac:dyDescent="0.25">
      <c r="A103" s="26">
        <f t="shared" si="11"/>
        <v>121</v>
      </c>
      <c r="B103" s="28">
        <f>IF(A103&gt;200,"",IF($C$1='Adj-Mixed'!$A$21,VLOOKUP(A103,'337'!$A$6:$AB$188,2,FALSE),IF($C$1='Adj-Mixed'!$A$20,VLOOKUP(A103,'337'!$A$6:$AB$188,11,FALSE),IF($C$1='Adj-Mixed'!$A$19,VLOOKUP(A103,'337'!$A$6:$AB$188,20,FALSE)))))</f>
        <v>77.826931250904209</v>
      </c>
      <c r="C103" s="26">
        <f t="shared" si="15"/>
        <v>1040.3399426372034</v>
      </c>
      <c r="D103" s="27">
        <f t="shared" si="16"/>
        <v>0.38985995412828406</v>
      </c>
      <c r="E103" s="27">
        <f>IF(A103&gt;200,"",IF($C$1='Adj-Mixed'!$A$21,VLOOKUP(A103,'337'!$A$7:$AB$188,8,FALSE),IF($C$1='Adj-Mixed'!$A$20,VLOOKUP(A103,'337'!$A$7:$AB$188,17,FALSE),IF($C$1='Adj-Mixed'!$A$19,VLOOKUP(A103,'337'!$A$7:$AB$188,26,FALSE)))))</f>
        <v>2.5650236435182783</v>
      </c>
      <c r="F103" s="27">
        <f t="shared" si="12"/>
        <v>2.6684965501608762</v>
      </c>
      <c r="G103" s="28">
        <f t="shared" si="18"/>
        <v>139.78895973473837</v>
      </c>
      <c r="H103" s="1"/>
      <c r="I103" s="136">
        <f t="shared" si="17"/>
        <v>85.224073055177485</v>
      </c>
      <c r="J103" s="26">
        <f>IF(A103&gt;200,"",C103*'Adj-Barrows'!$C$6)</f>
        <v>1146.8545318274371</v>
      </c>
      <c r="K103" s="27">
        <f>IF(A103&gt;200,"",D103*'Adj-Barrows'!$C$7)</f>
        <v>0.34612143247623184</v>
      </c>
      <c r="L103" s="1">
        <f t="shared" si="13"/>
        <v>2.8891594283710531</v>
      </c>
      <c r="M103" s="27">
        <f t="shared" si="14"/>
        <v>3.3134455835993095</v>
      </c>
      <c r="N103" s="31">
        <f t="shared" si="19"/>
        <v>173.57455876833961</v>
      </c>
    </row>
    <row r="104" spans="1:14" x14ac:dyDescent="0.25">
      <c r="A104" s="26">
        <f t="shared" si="11"/>
        <v>122</v>
      </c>
      <c r="B104" s="28">
        <f>IF(A104&gt;200,"",IF($C$1='Adj-Mixed'!$A$21,VLOOKUP(A104,'337'!$A$6:$AB$188,2,FALSE),IF($C$1='Adj-Mixed'!$A$20,VLOOKUP(A104,'337'!$A$6:$AB$188,11,FALSE),IF($C$1='Adj-Mixed'!$A$19,VLOOKUP(A104,'337'!$A$6:$AB$188,20,FALSE)))))</f>
        <v>78.868001486196817</v>
      </c>
      <c r="C104" s="26">
        <f t="shared" si="15"/>
        <v>1041.070235292608</v>
      </c>
      <c r="D104" s="27">
        <f t="shared" si="16"/>
        <v>0.38800748288253012</v>
      </c>
      <c r="E104" s="27">
        <f>IF(A104&gt;200,"",IF($C$1='Adj-Mixed'!$A$21,VLOOKUP(A104,'337'!$A$7:$AB$188,8,FALSE),IF($C$1='Adj-Mixed'!$A$20,VLOOKUP(A104,'337'!$A$7:$AB$188,17,FALSE),IF($C$1='Adj-Mixed'!$A$19,VLOOKUP(A104,'337'!$A$7:$AB$188,26,FALSE)))))</f>
        <v>2.5772698829696323</v>
      </c>
      <c r="F104" s="27">
        <f t="shared" si="12"/>
        <v>2.6831189634757475</v>
      </c>
      <c r="G104" s="28">
        <f t="shared" si="18"/>
        <v>142.47207869821412</v>
      </c>
      <c r="H104" s="1"/>
      <c r="I104" s="136">
        <f t="shared" si="17"/>
        <v>86.371732650241555</v>
      </c>
      <c r="J104" s="26">
        <f>IF(A104&gt;200,"",C104*'Adj-Barrows'!$C$6)</f>
        <v>1147.6595950640633</v>
      </c>
      <c r="K104" s="27">
        <f>IF(A104&gt;200,"",D104*'Adj-Barrows'!$C$7)</f>
        <v>0.3444767906133992</v>
      </c>
      <c r="L104" s="1">
        <f t="shared" si="13"/>
        <v>2.902953195248164</v>
      </c>
      <c r="M104" s="27">
        <f t="shared" si="14"/>
        <v>3.3316020885484368</v>
      </c>
      <c r="N104" s="31">
        <f t="shared" si="19"/>
        <v>176.90616085688805</v>
      </c>
    </row>
    <row r="105" spans="1:14" x14ac:dyDescent="0.25">
      <c r="A105" s="26">
        <f t="shared" si="11"/>
        <v>123</v>
      </c>
      <c r="B105" s="28">
        <f>IF(A105&gt;200,"",IF($C$1='Adj-Mixed'!$A$21,VLOOKUP(A105,'337'!$A$6:$AB$188,2,FALSE),IF($C$1='Adj-Mixed'!$A$20,VLOOKUP(A105,'337'!$A$6:$AB$188,11,FALSE),IF($C$1='Adj-Mixed'!$A$19,VLOOKUP(A105,'337'!$A$6:$AB$188,20,FALSE)))))</f>
        <v>79.909664266557044</v>
      </c>
      <c r="C105" s="26">
        <f t="shared" si="15"/>
        <v>1041.6627803602269</v>
      </c>
      <c r="D105" s="27">
        <f t="shared" si="16"/>
        <v>0.38618890801400291</v>
      </c>
      <c r="E105" s="27">
        <f>IF(A105&gt;200,"",IF($C$1='Adj-Mixed'!$A$21,VLOOKUP(A105,'337'!$A$7:$AB$188,8,FALSE),IF($C$1='Adj-Mixed'!$A$20,VLOOKUP(A105,'337'!$A$7:$AB$188,17,FALSE),IF($C$1='Adj-Mixed'!$A$19,VLOOKUP(A105,'337'!$A$7:$AB$188,26,FALSE)))))</f>
        <v>2.5894063222648041</v>
      </c>
      <c r="F105" s="27">
        <f t="shared" si="12"/>
        <v>2.6972881891327054</v>
      </c>
      <c r="G105" s="28">
        <f t="shared" si="18"/>
        <v>145.16936688734683</v>
      </c>
      <c r="H105" s="1"/>
      <c r="I105" s="136">
        <f t="shared" si="17"/>
        <v>87.52004545774922</v>
      </c>
      <c r="J105" s="26">
        <f>IF(A105&gt;200,"",C105*'Adj-Barrows'!$C$6)</f>
        <v>1148.3128075076688</v>
      </c>
      <c r="K105" s="27">
        <f>IF(A105&gt;200,"",D105*'Adj-Barrows'!$C$7)</f>
        <v>0.34286224228163392</v>
      </c>
      <c r="L105" s="1">
        <f t="shared" si="13"/>
        <v>2.9166232867910256</v>
      </c>
      <c r="M105" s="27">
        <f t="shared" si="14"/>
        <v>3.349195874897247</v>
      </c>
      <c r="N105" s="31">
        <f t="shared" si="19"/>
        <v>180.2553567317853</v>
      </c>
    </row>
    <row r="106" spans="1:14" x14ac:dyDescent="0.25">
      <c r="A106" s="26">
        <f t="shared" ref="A106:A169" si="20">A105+1</f>
        <v>124</v>
      </c>
      <c r="B106" s="28">
        <f>IF(A106&gt;200,"",IF($C$1='Adj-Mixed'!$A$21,VLOOKUP(A106,'337'!$A$6:$AB$188,2,FALSE),IF($C$1='Adj-Mixed'!$A$20,VLOOKUP(A106,'337'!$A$6:$AB$188,11,FALSE),IF($C$1='Adj-Mixed'!$A$19,VLOOKUP(A106,'337'!$A$6:$AB$188,20,FALSE)))))</f>
        <v>80.951783782925432</v>
      </c>
      <c r="C106" s="26">
        <f t="shared" si="15"/>
        <v>1042.1195163683876</v>
      </c>
      <c r="D106" s="27">
        <f t="shared" si="16"/>
        <v>0.38440223555175879</v>
      </c>
      <c r="E106" s="27">
        <f>IF(A106&gt;200,"",IF($C$1='Adj-Mixed'!$A$21,VLOOKUP(A106,'337'!$A$7:$AB$188,8,FALSE),IF($C$1='Adj-Mixed'!$A$20,VLOOKUP(A106,'337'!$A$7:$AB$188,17,FALSE),IF($C$1='Adj-Mixed'!$A$19,VLOOKUP(A106,'337'!$A$7:$AB$188,26,FALSE)))))</f>
        <v>2.6014416866349168</v>
      </c>
      <c r="F106" s="27">
        <f t="shared" ref="F106:F169" si="21">IF(A106&gt;200,"",(E106*C106)/1000)</f>
        <v>2.7110131523365419</v>
      </c>
      <c r="G106" s="28">
        <f t="shared" si="18"/>
        <v>147.88038003968336</v>
      </c>
      <c r="H106" s="1"/>
      <c r="I106" s="136">
        <f t="shared" si="17"/>
        <v>88.668861763910883</v>
      </c>
      <c r="J106" s="26">
        <f>IF(A106&gt;200,"",C106*'Adj-Barrows'!$C$6)</f>
        <v>1148.8163061616572</v>
      </c>
      <c r="K106" s="27">
        <f>IF(A106&gt;200,"",D106*'Adj-Barrows'!$C$7)</f>
        <v>0.34127601721427475</v>
      </c>
      <c r="L106" s="1">
        <f t="shared" si="13"/>
        <v>2.9301795308169472</v>
      </c>
      <c r="M106" s="27">
        <f t="shared" si="14"/>
        <v>3.3662380249836232</v>
      </c>
      <c r="N106" s="31">
        <f t="shared" si="19"/>
        <v>183.62159475676893</v>
      </c>
    </row>
    <row r="107" spans="1:14" x14ac:dyDescent="0.25">
      <c r="A107" s="26">
        <f t="shared" si="20"/>
        <v>125</v>
      </c>
      <c r="B107" s="28">
        <f>IF(A107&gt;200,"",IF($C$1='Adj-Mixed'!$A$21,VLOOKUP(A107,'337'!$A$6:$AB$188,2,FALSE),IF($C$1='Adj-Mixed'!$A$20,VLOOKUP(A107,'337'!$A$6:$AB$188,11,FALSE),IF($C$1='Adj-Mixed'!$A$19,VLOOKUP(A107,'337'!$A$6:$AB$188,20,FALSE)))))</f>
        <v>81.994226186637817</v>
      </c>
      <c r="C107" s="26">
        <f t="shared" si="15"/>
        <v>1042.4424037123856</v>
      </c>
      <c r="D107" s="27">
        <f t="shared" si="16"/>
        <v>0.38264555208778317</v>
      </c>
      <c r="E107" s="27">
        <f>IF(A107&gt;200,"",IF($C$1='Adj-Mixed'!$A$21,VLOOKUP(A107,'337'!$A$7:$AB$188,8,FALSE),IF($C$1='Adj-Mixed'!$A$20,VLOOKUP(A107,'337'!$A$7:$AB$188,17,FALSE),IF($C$1='Adj-Mixed'!$A$19,VLOOKUP(A107,'337'!$A$7:$AB$188,26,FALSE)))))</f>
        <v>2.6133846180723115</v>
      </c>
      <c r="F107" s="27">
        <f t="shared" si="21"/>
        <v>2.7243029430882753</v>
      </c>
      <c r="G107" s="28">
        <f t="shared" si="18"/>
        <v>150.60468298277164</v>
      </c>
      <c r="H107" s="1"/>
      <c r="I107" s="136">
        <f t="shared" si="17"/>
        <v>89.818034016046113</v>
      </c>
      <c r="J107" s="26">
        <f>IF(A107&gt;200,"",C107*'Adj-Barrows'!$C$6)</f>
        <v>1149.1722521352349</v>
      </c>
      <c r="K107" s="27">
        <f>IF(A107&gt;200,"",D107*'Adj-Barrows'!$C$7)</f>
        <v>0.33971641666920704</v>
      </c>
      <c r="L107" s="1">
        <f t="shared" si="13"/>
        <v>2.9436316613857745</v>
      </c>
      <c r="M107" s="27">
        <f t="shared" si="14"/>
        <v>3.382739825771274</v>
      </c>
      <c r="N107" s="31">
        <f t="shared" si="19"/>
        <v>187.0043345825402</v>
      </c>
    </row>
    <row r="108" spans="1:14" x14ac:dyDescent="0.25">
      <c r="A108" s="26">
        <f t="shared" si="20"/>
        <v>126</v>
      </c>
      <c r="B108" s="28">
        <f>IF(A108&gt;200,"",IF($C$1='Adj-Mixed'!$A$21,VLOOKUP(A108,'337'!$A$6:$AB$188,2,FALSE),IF($C$1='Adj-Mixed'!$A$20,VLOOKUP(A108,'337'!$A$6:$AB$188,11,FALSE),IF($C$1='Adj-Mixed'!$A$19,VLOOKUP(A108,'337'!$A$6:$AB$188,20,FALSE)))))</f>
        <v>83.036859609459768</v>
      </c>
      <c r="C108" s="26">
        <f t="shared" si="15"/>
        <v>1042.6334228219503</v>
      </c>
      <c r="D108" s="27">
        <f t="shared" si="16"/>
        <v>0.38091702232834562</v>
      </c>
      <c r="E108" s="27">
        <f>IF(A108&gt;200,"",IF($C$1='Adj-Mixed'!$A$21,VLOOKUP(A108,'337'!$A$7:$AB$188,8,FALSE),IF($C$1='Adj-Mixed'!$A$20,VLOOKUP(A108,'337'!$A$7:$AB$188,17,FALSE),IF($C$1='Adj-Mixed'!$A$19,VLOOKUP(A108,'337'!$A$7:$AB$188,26,FALSE)))))</f>
        <v>2.6252436656349074</v>
      </c>
      <c r="F108" s="27">
        <f t="shared" si="21"/>
        <v>2.7371667888425675</v>
      </c>
      <c r="G108" s="28">
        <f t="shared" si="18"/>
        <v>153.34184977161419</v>
      </c>
      <c r="H108" s="1"/>
      <c r="I108" s="136">
        <f t="shared" si="17"/>
        <v>90.967416844669373</v>
      </c>
      <c r="J108" s="26">
        <f>IF(A108&gt;200,"",C108*'Adj-Barrows'!$C$6)</f>
        <v>1149.3828286232572</v>
      </c>
      <c r="K108" s="27">
        <f>IF(A108&gt;200,"",D108*'Adj-Barrows'!$C$7)</f>
        <v>0.33818181125493191</v>
      </c>
      <c r="L108" s="1">
        <f t="shared" si="13"/>
        <v>2.9569893078790361</v>
      </c>
      <c r="M108" s="27">
        <f t="shared" si="14"/>
        <v>3.3987127348987345</v>
      </c>
      <c r="N108" s="31">
        <f t="shared" si="19"/>
        <v>190.40304731743893</v>
      </c>
    </row>
    <row r="109" spans="1:14" x14ac:dyDescent="0.25">
      <c r="A109" s="26">
        <f t="shared" si="20"/>
        <v>127</v>
      </c>
      <c r="B109" s="28">
        <f>IF(A109&gt;200,"",IF($C$1='Adj-Mixed'!$A$21,VLOOKUP(A109,'337'!$A$6:$AB$188,2,FALSE),IF($C$1='Adj-Mixed'!$A$20,VLOOKUP(A109,'337'!$A$6:$AB$188,11,FALSE),IF($C$1='Adj-Mixed'!$A$19,VLOOKUP(A109,'337'!$A$6:$AB$188,20,FALSE)))))</f>
        <v>84.079554181822729</v>
      </c>
      <c r="C109" s="26">
        <f t="shared" si="15"/>
        <v>1042.6945723629615</v>
      </c>
      <c r="D109" s="27">
        <f t="shared" si="16"/>
        <v>0.37921488674141041</v>
      </c>
      <c r="E109" s="27">
        <f>IF(A109&gt;200,"",IF($C$1='Adj-Mixed'!$A$21,VLOOKUP(A109,'337'!$A$7:$AB$188,8,FALSE),IF($C$1='Adj-Mixed'!$A$20,VLOOKUP(A109,'337'!$A$7:$AB$188,17,FALSE),IF($C$1='Adj-Mixed'!$A$19,VLOOKUP(A109,'337'!$A$7:$AB$188,26,FALSE)))))</f>
        <v>2.6370272765212084</v>
      </c>
      <c r="F109" s="27">
        <f t="shared" si="21"/>
        <v>2.7496140284017465</v>
      </c>
      <c r="G109" s="28">
        <f t="shared" si="18"/>
        <v>156.09146380001593</v>
      </c>
      <c r="H109" s="1"/>
      <c r="I109" s="136">
        <f t="shared" si="17"/>
        <v>92.116867083593206</v>
      </c>
      <c r="J109" s="26">
        <f>IF(A109&gt;200,"",C109*'Adj-Barrows'!$C$6)</f>
        <v>1149.4502389238269</v>
      </c>
      <c r="K109" s="27">
        <f>IF(A109&gt;200,"",D109*'Adj-Barrows'!$C$7)</f>
        <v>0.33667063884191478</v>
      </c>
      <c r="L109" s="1">
        <f t="shared" si="13"/>
        <v>2.9702619849471179</v>
      </c>
      <c r="M109" s="27">
        <f t="shared" si="14"/>
        <v>3.4141683482638245</v>
      </c>
      <c r="N109" s="31">
        <f t="shared" si="19"/>
        <v>193.81721566570275</v>
      </c>
    </row>
    <row r="110" spans="1:14" x14ac:dyDescent="0.25">
      <c r="A110" s="26">
        <f t="shared" si="20"/>
        <v>128</v>
      </c>
      <c r="B110" s="28">
        <f>IF(A110&gt;200,"",IF($C$1='Adj-Mixed'!$A$21,VLOOKUP(A110,'337'!$A$6:$AB$188,2,FALSE),IF($C$1='Adj-Mixed'!$A$20,VLOOKUP(A110,'337'!$A$6:$AB$188,11,FALSE),IF($C$1='Adj-Mixed'!$A$19,VLOOKUP(A110,'337'!$A$6:$AB$188,20,FALSE)))))</f>
        <v>85.122182049298431</v>
      </c>
      <c r="C110" s="26">
        <f t="shared" si="15"/>
        <v>1042.6278674757014</v>
      </c>
      <c r="D110" s="27">
        <f t="shared" si="16"/>
        <v>0.37753745929311877</v>
      </c>
      <c r="E110" s="27">
        <f>IF(A110&gt;200,"",IF($C$1='Adj-Mixed'!$A$21,VLOOKUP(A110,'337'!$A$7:$AB$188,8,FALSE),IF($C$1='Adj-Mixed'!$A$20,VLOOKUP(A110,'337'!$A$7:$AB$188,17,FALSE),IF($C$1='Adj-Mixed'!$A$19,VLOOKUP(A110,'337'!$A$7:$AB$188,26,FALSE)))))</f>
        <v>2.6487437878941793</v>
      </c>
      <c r="F110" s="27">
        <f t="shared" si="21"/>
        <v>2.7616540870616193</v>
      </c>
      <c r="G110" s="28">
        <f t="shared" si="18"/>
        <v>158.85311788707756</v>
      </c>
      <c r="H110" s="1"/>
      <c r="I110" s="136">
        <f t="shared" si="17"/>
        <v>93.266243788089383</v>
      </c>
      <c r="J110" s="26">
        <f>IF(A110&gt;200,"",C110*'Adj-Barrows'!$C$6)</f>
        <v>1149.376704496171</v>
      </c>
      <c r="K110" s="27">
        <f>IF(A110&gt;200,"",D110*'Adj-Barrows'!$C$7)</f>
        <v>0.33518140255301243</v>
      </c>
      <c r="L110" s="1">
        <f t="shared" si="13"/>
        <v>2.9834590832999441</v>
      </c>
      <c r="M110" s="27">
        <f t="shared" si="14"/>
        <v>3.4291183691624569</v>
      </c>
      <c r="N110" s="31">
        <f t="shared" si="19"/>
        <v>197.24633403486521</v>
      </c>
    </row>
    <row r="111" spans="1:14" x14ac:dyDescent="0.25">
      <c r="A111" s="26">
        <f t="shared" si="20"/>
        <v>129</v>
      </c>
      <c r="B111" s="28">
        <f>IF(A111&gt;200,"",IF($C$1='Adj-Mixed'!$A$21,VLOOKUP(A111,'337'!$A$6:$AB$188,2,FALSE),IF($C$1='Adj-Mixed'!$A$20,VLOOKUP(A111,'337'!$A$6:$AB$188,11,FALSE),IF($C$1='Adj-Mixed'!$A$19,VLOOKUP(A111,'337'!$A$6:$AB$188,20,FALSE)))))</f>
        <v>86.164617387347249</v>
      </c>
      <c r="C111" s="26">
        <f t="shared" si="15"/>
        <v>1042.4353380488185</v>
      </c>
      <c r="D111" s="27">
        <f t="shared" si="16"/>
        <v>0.37588312526580914</v>
      </c>
      <c r="E111" s="27">
        <f>IF(A111&gt;200,"",IF($C$1='Adj-Mixed'!$A$21,VLOOKUP(A111,'337'!$A$7:$AB$188,8,FALSE),IF($C$1='Adj-Mixed'!$A$20,VLOOKUP(A111,'337'!$A$7:$AB$188,17,FALSE),IF($C$1='Adj-Mixed'!$A$19,VLOOKUP(A111,'337'!$A$7:$AB$188,26,FALSE)))))</f>
        <v>2.6604014194381325</v>
      </c>
      <c r="F111" s="27">
        <f t="shared" si="21"/>
        <v>2.7732964530175463</v>
      </c>
      <c r="G111" s="28">
        <f t="shared" si="18"/>
        <v>161.6264143400951</v>
      </c>
      <c r="H111" s="1"/>
      <c r="I111" s="136">
        <f t="shared" si="17"/>
        <v>94.415408251147269</v>
      </c>
      <c r="J111" s="26">
        <f>IF(A111&gt;200,"",C111*'Adj-Barrows'!$C$6)</f>
        <v>1149.164463057886</v>
      </c>
      <c r="K111" s="27">
        <f>IF(A111&gt;200,"",D111*'Adj-Barrows'!$C$7)</f>
        <v>0.33371266882629019</v>
      </c>
      <c r="L111" s="1">
        <f t="shared" si="13"/>
        <v>2.9965898613232964</v>
      </c>
      <c r="M111" s="27">
        <f t="shared" si="14"/>
        <v>3.4435745789922905</v>
      </c>
      <c r="N111" s="31">
        <f t="shared" si="19"/>
        <v>200.68990861385751</v>
      </c>
    </row>
    <row r="112" spans="1:14" x14ac:dyDescent="0.25">
      <c r="A112" s="26">
        <f t="shared" si="20"/>
        <v>130</v>
      </c>
      <c r="B112" s="28">
        <f>IF(A112&gt;200,"",IF($C$1='Adj-Mixed'!$A$21,VLOOKUP(A112,'337'!$A$6:$AB$188,2,FALSE),IF($C$1='Adj-Mixed'!$A$20,VLOOKUP(A112,'337'!$A$6:$AB$188,11,FALSE),IF($C$1='Adj-Mixed'!$A$19,VLOOKUP(A112,'337'!$A$6:$AB$188,20,FALSE)))))</f>
        <v>87.206736414378739</v>
      </c>
      <c r="C112" s="26">
        <f t="shared" si="15"/>
        <v>1042.1190270314896</v>
      </c>
      <c r="D112" s="27">
        <f t="shared" si="16"/>
        <v>0.37425033915183153</v>
      </c>
      <c r="E112" s="27">
        <f>IF(A112&gt;200,"",IF($C$1='Adj-Mixed'!$A$21,VLOOKUP(A112,'337'!$A$7:$AB$188,8,FALSE),IF($C$1='Adj-Mixed'!$A$20,VLOOKUP(A112,'337'!$A$7:$AB$188,17,FALSE),IF($C$1='Adj-Mixed'!$A$19,VLOOKUP(A112,'337'!$A$7:$AB$188,26,FALSE)))))</f>
        <v>2.6720082666225853</v>
      </c>
      <c r="F112" s="27">
        <f t="shared" si="21"/>
        <v>2.7845506550328256</v>
      </c>
      <c r="G112" s="28">
        <f t="shared" si="18"/>
        <v>164.41096499512793</v>
      </c>
      <c r="H112" s="1"/>
      <c r="I112" s="136">
        <f t="shared" si="17"/>
        <v>95.564224017871567</v>
      </c>
      <c r="J112" s="26">
        <f>IF(A112&gt;200,"",C112*'Adj-Barrows'!$C$6)</f>
        <v>1148.8157667242904</v>
      </c>
      <c r="K112" s="27">
        <f>IF(A112&gt;200,"",D112*'Adj-Barrows'!$C$7)</f>
        <v>0.33226306554513024</v>
      </c>
      <c r="L112" s="1">
        <f t="shared" si="13"/>
        <v>3.0096634374914388</v>
      </c>
      <c r="M112" s="27">
        <f t="shared" si="14"/>
        <v>3.4575488095237912</v>
      </c>
      <c r="N112" s="31">
        <f t="shared" si="19"/>
        <v>204.1474574233813</v>
      </c>
    </row>
    <row r="113" spans="1:14" x14ac:dyDescent="0.25">
      <c r="A113" s="26">
        <f t="shared" si="20"/>
        <v>131</v>
      </c>
      <c r="B113" s="28">
        <f>IF(A113&gt;200,"",IF($C$1='Adj-Mixed'!$A$21,VLOOKUP(A113,'337'!$A$6:$AB$188,2,FALSE),IF($C$1='Adj-Mixed'!$A$20,VLOOKUP(A113,'337'!$A$6:$AB$188,11,FALSE),IF($C$1='Adj-Mixed'!$A$19,VLOOKUP(A113,'337'!$A$6:$AB$188,20,FALSE)))))</f>
        <v>88.248417403161639</v>
      </c>
      <c r="C113" s="26">
        <f t="shared" si="15"/>
        <v>1041.6809887829004</v>
      </c>
      <c r="D113" s="27">
        <f t="shared" si="16"/>
        <v>0.37263762261672262</v>
      </c>
      <c r="E113" s="27">
        <f>IF(A113&gt;200,"",IF($C$1='Adj-Mixed'!$A$21,VLOOKUP(A113,'337'!$A$7:$AB$188,8,FALSE),IF($C$1='Adj-Mixed'!$A$20,VLOOKUP(A113,'337'!$A$7:$AB$188,17,FALSE),IF($C$1='Adj-Mixed'!$A$19,VLOOKUP(A113,'337'!$A$7:$AB$188,26,FALSE)))))</f>
        <v>2.6835722946540814</v>
      </c>
      <c r="F113" s="27">
        <f t="shared" si="21"/>
        <v>2.7954262413656608</v>
      </c>
      <c r="G113" s="28">
        <f t="shared" si="18"/>
        <v>167.20639123649357</v>
      </c>
      <c r="H113" s="1"/>
      <c r="I113" s="136">
        <f t="shared" si="17"/>
        <v>96.712556898060484</v>
      </c>
      <c r="J113" s="26">
        <f>IF(A113&gt;200,"",C113*'Adj-Barrows'!$C$6)</f>
        <v>1148.3328801889193</v>
      </c>
      <c r="K113" s="27">
        <f>IF(A113&gt;200,"",D113*'Adj-Barrows'!$C$7)</f>
        <v>0.33083128022991853</v>
      </c>
      <c r="L113" s="1">
        <f t="shared" si="13"/>
        <v>3.0226887835546501</v>
      </c>
      <c r="M113" s="27">
        <f t="shared" si="14"/>
        <v>3.471052916734052</v>
      </c>
      <c r="N113" s="31">
        <f t="shared" si="19"/>
        <v>207.61851034011534</v>
      </c>
    </row>
    <row r="114" spans="1:14" x14ac:dyDescent="0.25">
      <c r="A114" s="26">
        <f t="shared" si="20"/>
        <v>132</v>
      </c>
      <c r="B114" s="28">
        <f>IF(A114&gt;200,"",IF($C$1='Adj-Mixed'!$A$21,VLOOKUP(A114,'337'!$A$6:$AB$188,2,FALSE),IF($C$1='Adj-Mixed'!$A$20,VLOOKUP(A114,'337'!$A$6:$AB$188,11,FALSE),IF($C$1='Adj-Mixed'!$A$19,VLOOKUP(A114,'337'!$A$6:$AB$188,20,FALSE)))))</f>
        <v>89.289540690623028</v>
      </c>
      <c r="C114" s="26">
        <f t="shared" si="15"/>
        <v>1041.1232874613888</v>
      </c>
      <c r="D114" s="27">
        <f t="shared" si="16"/>
        <v>0.37104356252699622</v>
      </c>
      <c r="E114" s="27">
        <f>IF(A114&gt;200,"",IF($C$1='Adj-Mixed'!$A$21,VLOOKUP(A114,'337'!$A$7:$AB$188,8,FALSE),IF($C$1='Adj-Mixed'!$A$20,VLOOKUP(A114,'337'!$A$7:$AB$188,17,FALSE),IF($C$1='Adj-Mixed'!$A$19,VLOOKUP(A114,'337'!$A$7:$AB$188,26,FALSE)))))</f>
        <v>2.695101333087385</v>
      </c>
      <c r="F114" s="27">
        <f t="shared" si="21"/>
        <v>2.8059327599455095</v>
      </c>
      <c r="G114" s="28">
        <f t="shared" si="18"/>
        <v>170.01232399643908</v>
      </c>
      <c r="H114" s="1"/>
      <c r="I114" s="136">
        <f t="shared" si="17"/>
        <v>97.860274977008217</v>
      </c>
      <c r="J114" s="26">
        <f>IF(A114&gt;200,"",C114*'Adj-Barrows'!$C$6)</f>
        <v>1147.71807894774</v>
      </c>
      <c r="K114" s="27">
        <f>IF(A114&gt;200,"",D114*'Adj-Barrows'!$C$7)</f>
        <v>0.32941605828709813</v>
      </c>
      <c r="L114" s="1">
        <f t="shared" si="13"/>
        <v>3.0356747184694424</v>
      </c>
      <c r="M114" s="27">
        <f t="shared" si="14"/>
        <v>3.4840987561919694</v>
      </c>
      <c r="N114" s="31">
        <f t="shared" si="19"/>
        <v>211.1026090963073</v>
      </c>
    </row>
    <row r="115" spans="1:14" x14ac:dyDescent="0.25">
      <c r="A115" s="26">
        <f t="shared" si="20"/>
        <v>133</v>
      </c>
      <c r="B115" s="28">
        <f>IF(A115&gt;200,"",IF($C$1='Adj-Mixed'!$A$21,VLOOKUP(A115,'337'!$A$6:$AB$188,2,FALSE),IF($C$1='Adj-Mixed'!$A$20,VLOOKUP(A115,'337'!$A$6:$AB$188,11,FALSE),IF($C$1='Adj-Mixed'!$A$19,VLOOKUP(A115,'337'!$A$6:$AB$188,20,FALSE)))))</f>
        <v>90.329988686074898</v>
      </c>
      <c r="C115" s="26">
        <f t="shared" si="15"/>
        <v>1040.4479954518706</v>
      </c>
      <c r="D115" s="27">
        <f t="shared" si="16"/>
        <v>0.36946680903694584</v>
      </c>
      <c r="E115" s="27">
        <f>IF(A115&gt;200,"",IF($C$1='Adj-Mixed'!$A$21,VLOOKUP(A115,'337'!$A$7:$AB$188,8,FALSE),IF($C$1='Adj-Mixed'!$A$20,VLOOKUP(A115,'337'!$A$7:$AB$188,17,FALSE),IF($C$1='Adj-Mixed'!$A$19,VLOOKUP(A115,'337'!$A$7:$AB$188,26,FALSE)))))</f>
        <v>2.7066030710758708</v>
      </c>
      <c r="F115" s="27">
        <f t="shared" si="21"/>
        <v>2.816079739784767</v>
      </c>
      <c r="G115" s="28">
        <f t="shared" si="18"/>
        <v>172.82840373622383</v>
      </c>
      <c r="H115" s="1"/>
      <c r="I115" s="136">
        <f t="shared" si="17"/>
        <v>99.007248624573791</v>
      </c>
      <c r="J115" s="26">
        <f>IF(A115&gt;200,"",C115*'Adj-Barrows'!$C$6)</f>
        <v>1146.9736475655714</v>
      </c>
      <c r="K115" s="27">
        <f>IF(A115&gt;200,"",D115*'Adj-Barrows'!$C$7)</f>
        <v>0.32801620131061432</v>
      </c>
      <c r="L115" s="1">
        <f t="shared" si="13"/>
        <v>3.048629903048758</v>
      </c>
      <c r="M115" s="27">
        <f t="shared" si="14"/>
        <v>3.4966981599773082</v>
      </c>
      <c r="N115" s="31">
        <f t="shared" si="19"/>
        <v>214.59930725628462</v>
      </c>
    </row>
    <row r="116" spans="1:14" x14ac:dyDescent="0.25">
      <c r="A116" s="26">
        <f t="shared" si="20"/>
        <v>134</v>
      </c>
      <c r="B116" s="28">
        <f>IF(A116&gt;200,"",IF($C$1='Adj-Mixed'!$A$21,VLOOKUP(A116,'337'!$A$6:$AB$188,2,FALSE),IF($C$1='Adj-Mixed'!$A$20,VLOOKUP(A116,'337'!$A$6:$AB$188,11,FALSE),IF($C$1='Adj-Mixed'!$A$19,VLOOKUP(A116,'337'!$A$6:$AB$188,20,FALSE)))))</f>
        <v>91.369645877908781</v>
      </c>
      <c r="C116" s="26">
        <f t="shared" si="15"/>
        <v>1039.6571918338823</v>
      </c>
      <c r="D116" s="27">
        <f t="shared" si="16"/>
        <v>0.36790607373065615</v>
      </c>
      <c r="E116" s="27">
        <f>IF(A116&gt;200,"",IF($C$1='Adj-Mixed'!$A$21,VLOOKUP(A116,'337'!$A$7:$AB$188,8,FALSE),IF($C$1='Adj-Mixed'!$A$20,VLOOKUP(A116,'337'!$A$7:$AB$188,17,FALSE),IF($C$1='Adj-Mixed'!$A$19,VLOOKUP(A116,'337'!$A$7:$AB$188,26,FALSE)))))</f>
        <v>2.7180850532304599</v>
      </c>
      <c r="F116" s="27">
        <f t="shared" si="21"/>
        <v>2.8258766736072283</v>
      </c>
      <c r="G116" s="28">
        <f t="shared" si="18"/>
        <v>175.65428040983107</v>
      </c>
      <c r="H116" s="1"/>
      <c r="I116" s="136">
        <f t="shared" si="17"/>
        <v>100.15335050256107</v>
      </c>
      <c r="J116" s="26">
        <f>IF(A116&gt;200,"",C116*'Adj-Barrows'!$C$6)</f>
        <v>1146.101877987277</v>
      </c>
      <c r="K116" s="27">
        <f>IF(A116&gt;200,"",D116*'Adj-Barrows'!$C$7)</f>
        <v>0.32663056543237418</v>
      </c>
      <c r="L116" s="1">
        <f t="shared" si="13"/>
        <v>3.061562835297607</v>
      </c>
      <c r="M116" s="27">
        <f t="shared" si="14"/>
        <v>3.5088629151106394</v>
      </c>
      <c r="N116" s="31">
        <f t="shared" si="19"/>
        <v>218.10817017139524</v>
      </c>
    </row>
    <row r="117" spans="1:14" x14ac:dyDescent="0.25">
      <c r="A117" s="26">
        <f t="shared" si="20"/>
        <v>135</v>
      </c>
      <c r="B117" s="28">
        <f>IF(A117&gt;200,"",IF($C$1='Adj-Mixed'!$A$21,VLOOKUP(A117,'337'!$A$6:$AB$188,2,FALSE),IF($C$1='Adj-Mixed'!$A$20,VLOOKUP(A117,'337'!$A$6:$AB$188,11,FALSE),IF($C$1='Adj-Mixed'!$A$19,VLOOKUP(A117,'337'!$A$6:$AB$188,20,FALSE)))))</f>
        <v>92.408398838798334</v>
      </c>
      <c r="C117" s="26">
        <f t="shared" si="15"/>
        <v>1038.7529608895534</v>
      </c>
      <c r="D117" s="27">
        <f t="shared" si="16"/>
        <v>0.36636012781476801</v>
      </c>
      <c r="E117" s="27">
        <f>IF(A117&gt;200,"",IF($C$1='Adj-Mixed'!$A$21,VLOOKUP(A117,'337'!$A$7:$AB$188,8,FALSE),IF($C$1='Adj-Mixed'!$A$20,VLOOKUP(A117,'337'!$A$7:$AB$188,17,FALSE),IF($C$1='Adj-Mixed'!$A$19,VLOOKUP(A117,'337'!$A$7:$AB$188,26,FALSE)))))</f>
        <v>2.729554676063441</v>
      </c>
      <c r="F117" s="27">
        <f t="shared" si="21"/>
        <v>2.8353330016708251</v>
      </c>
      <c r="G117" s="28">
        <f t="shared" si="18"/>
        <v>178.48961341150189</v>
      </c>
      <c r="H117" s="1"/>
      <c r="I117" s="136">
        <f t="shared" si="17"/>
        <v>101.29845557045405</v>
      </c>
      <c r="J117" s="26">
        <f>IF(A117&gt;200,"",C117*'Adj-Barrows'!$C$6)</f>
        <v>1145.1050678929789</v>
      </c>
      <c r="K117" s="27">
        <f>IF(A117&gt;200,"",D117*'Adj-Barrows'!$C$7)</f>
        <v>0.32525805971776589</v>
      </c>
      <c r="L117" s="1">
        <f t="shared" si="13"/>
        <v>3.0744818464075068</v>
      </c>
      <c r="M117" s="27">
        <f t="shared" si="14"/>
        <v>3.5206047434661989</v>
      </c>
      <c r="N117" s="31">
        <f t="shared" si="19"/>
        <v>221.62877491486145</v>
      </c>
    </row>
    <row r="118" spans="1:14" x14ac:dyDescent="0.25">
      <c r="A118" s="26">
        <f t="shared" si="20"/>
        <v>136</v>
      </c>
      <c r="B118" s="28">
        <f>IF(A118&gt;200,"",IF($C$1='Adj-Mixed'!$A$21,VLOOKUP(A118,'337'!$A$6:$AB$188,2,FALSE),IF($C$1='Adj-Mixed'!$A$20,VLOOKUP(A118,'337'!$A$6:$AB$188,11,FALSE),IF($C$1='Adj-Mixed'!$A$19,VLOOKUP(A118,'337'!$A$6:$AB$188,20,FALSE)))))</f>
        <v>93.44613622944992</v>
      </c>
      <c r="C118" s="26">
        <f t="shared" si="15"/>
        <v>1037.7373906515857</v>
      </c>
      <c r="D118" s="27">
        <f t="shared" si="16"/>
        <v>0.36482780035823709</v>
      </c>
      <c r="E118" s="27">
        <f>IF(A118&gt;200,"",IF($C$1='Adj-Mixed'!$A$21,VLOOKUP(A118,'337'!$A$7:$AB$188,8,FALSE),IF($C$1='Adj-Mixed'!$A$20,VLOOKUP(A118,'337'!$A$7:$AB$188,17,FALSE),IF($C$1='Adj-Mixed'!$A$19,VLOOKUP(A118,'337'!$A$7:$AB$188,26,FALSE)))))</f>
        <v>2.7410191849910155</v>
      </c>
      <c r="F118" s="27">
        <f t="shared" si="21"/>
        <v>2.8444580967585127</v>
      </c>
      <c r="G118" s="28">
        <f t="shared" si="18"/>
        <v>181.33407150826039</v>
      </c>
      <c r="H118" s="1"/>
      <c r="I118" s="136">
        <f t="shared" si="17"/>
        <v>102.44244108955142</v>
      </c>
      <c r="J118" s="26">
        <f>IF(A118&gt;200,"",C118*'Adj-Barrows'!$C$6)</f>
        <v>1143.985519097371</v>
      </c>
      <c r="K118" s="27">
        <f>IF(A118&gt;200,"",D118*'Adj-Barrows'!$C$7)</f>
        <v>0.32389764460289977</v>
      </c>
      <c r="L118" s="1">
        <f t="shared" si="13"/>
        <v>3.0873950973802398</v>
      </c>
      <c r="M118" s="27">
        <f t="shared" si="14"/>
        <v>3.531935283135212</v>
      </c>
      <c r="N118" s="31">
        <f t="shared" si="19"/>
        <v>225.16071019799665</v>
      </c>
    </row>
    <row r="119" spans="1:14" x14ac:dyDescent="0.25">
      <c r="A119" s="26">
        <f t="shared" si="20"/>
        <v>137</v>
      </c>
      <c r="B119" s="28">
        <f>IF(A119&gt;200,"",IF($C$1='Adj-Mixed'!$A$21,VLOOKUP(A119,'337'!$A$6:$AB$188,2,FALSE),IF($C$1='Adj-Mixed'!$A$20,VLOOKUP(A119,'337'!$A$6:$AB$188,11,FALSE),IF($C$1='Adj-Mixed'!$A$19,VLOOKUP(A119,'337'!$A$6:$AB$188,20,FALSE)))))</f>
        <v>94.482748800942773</v>
      </c>
      <c r="C119" s="26">
        <f t="shared" si="15"/>
        <v>1036.612571492853</v>
      </c>
      <c r="D119" s="27">
        <f t="shared" si="16"/>
        <v>0.36330797657625075</v>
      </c>
      <c r="E119" s="27">
        <f>IF(A119&gt;200,"",IF($C$1='Adj-Mixed'!$A$21,VLOOKUP(A119,'337'!$A$7:$AB$188,8,FALSE),IF($C$1='Adj-Mixed'!$A$20,VLOOKUP(A119,'337'!$A$7:$AB$188,17,FALSE),IF($C$1='Adj-Mixed'!$A$19,VLOOKUP(A119,'337'!$A$7:$AB$188,26,FALSE)))))</f>
        <v>2.7524856718639121</v>
      </c>
      <c r="F119" s="27">
        <f t="shared" si="21"/>
        <v>2.853261250308083</v>
      </c>
      <c r="G119" s="28">
        <f t="shared" si="18"/>
        <v>184.18733275856849</v>
      </c>
      <c r="H119" s="1"/>
      <c r="I119" s="136">
        <f t="shared" si="17"/>
        <v>103.58518662554634</v>
      </c>
      <c r="J119" s="26">
        <f>IF(A119&gt;200,"",C119*'Adj-Barrows'!$C$6)</f>
        <v>1142.7455359949163</v>
      </c>
      <c r="K119" s="27">
        <f>IF(A119&gt;200,"",D119*'Adj-Barrows'!$C$7)</f>
        <v>0.32254833037105263</v>
      </c>
      <c r="L119" s="1">
        <f t="shared" si="13"/>
        <v>3.1003105762464238</v>
      </c>
      <c r="M119" s="27">
        <f t="shared" si="14"/>
        <v>3.5428660712034272</v>
      </c>
      <c r="N119" s="31">
        <f t="shared" si="19"/>
        <v>228.70357626920008</v>
      </c>
    </row>
    <row r="120" spans="1:14" x14ac:dyDescent="0.25">
      <c r="A120" s="26">
        <f t="shared" si="20"/>
        <v>138</v>
      </c>
      <c r="B120" s="28">
        <f>IF(A120&gt;200,"",IF($C$1='Adj-Mixed'!$A$21,VLOOKUP(A120,'337'!$A$6:$AB$188,2,FALSE),IF($C$1='Adj-Mixed'!$A$20,VLOOKUP(A120,'337'!$A$6:$AB$188,11,FALSE),IF($C$1='Adj-Mixed'!$A$19,VLOOKUP(A120,'337'!$A$6:$AB$188,20,FALSE)))))</f>
        <v>95.51812939569912</v>
      </c>
      <c r="C120" s="26">
        <f t="shared" si="15"/>
        <v>1035.3805947563474</v>
      </c>
      <c r="D120" s="27">
        <f t="shared" si="16"/>
        <v>0.36179959615480878</v>
      </c>
      <c r="E120" s="27">
        <f>IF(A120&gt;200,"",IF($C$1='Adj-Mixed'!$A$21,VLOOKUP(A120,'337'!$A$7:$AB$188,8,FALSE),IF($C$1='Adj-Mixed'!$A$20,VLOOKUP(A120,'337'!$A$7:$AB$188,17,FALSE),IF($C$1='Adj-Mixed'!$A$19,VLOOKUP(A120,'337'!$A$7:$AB$188,26,FALSE)))))</f>
        <v>2.7639610730027311</v>
      </c>
      <c r="F120" s="27">
        <f t="shared" si="21"/>
        <v>2.8617516596489598</v>
      </c>
      <c r="G120" s="28">
        <f t="shared" si="18"/>
        <v>187.04908441821746</v>
      </c>
      <c r="H120" s="1"/>
      <c r="I120" s="136">
        <f t="shared" si="17"/>
        <v>104.72657404959587</v>
      </c>
      <c r="J120" s="26">
        <f>IF(A120&gt;200,"",C120*'Adj-Barrows'!$C$6)</f>
        <v>1141.3874240495209</v>
      </c>
      <c r="K120" s="27">
        <f>IF(A120&gt;200,"",D120*'Adj-Barrows'!$C$7)</f>
        <v>0.32120917566521484</v>
      </c>
      <c r="L120" s="1">
        <f t="shared" si="13"/>
        <v>3.1132360958525833</v>
      </c>
      <c r="M120" s="27">
        <f t="shared" si="14"/>
        <v>3.5534085279031666</v>
      </c>
      <c r="N120" s="31">
        <f t="shared" si="19"/>
        <v>232.25698479710326</v>
      </c>
    </row>
    <row r="121" spans="1:14" x14ac:dyDescent="0.25">
      <c r="A121" s="26">
        <f t="shared" si="20"/>
        <v>139</v>
      </c>
      <c r="B121" s="28">
        <f>IF(A121&gt;200,"",IF($C$1='Adj-Mixed'!$A$21,VLOOKUP(A121,'337'!$A$6:$AB$188,2,FALSE),IF($C$1='Adj-Mixed'!$A$20,VLOOKUP(A121,'337'!$A$6:$AB$188,11,FALSE),IF($C$1='Adj-Mixed'!$A$19,VLOOKUP(A121,'337'!$A$6:$AB$188,20,FALSE)))))</f>
        <v>96.552172947125541</v>
      </c>
      <c r="C121" s="26">
        <f t="shared" si="15"/>
        <v>1034.0435514264213</v>
      </c>
      <c r="D121" s="27">
        <f t="shared" si="16"/>
        <v>0.36030165161360622</v>
      </c>
      <c r="E121" s="27">
        <f>IF(A121&gt;200,"",IF($C$1='Adj-Mixed'!$A$21,VLOOKUP(A121,'337'!$A$7:$AB$188,8,FALSE),IF($C$1='Adj-Mixed'!$A$20,VLOOKUP(A121,'337'!$A$7:$AB$188,17,FALSE),IF($C$1='Adj-Mixed'!$A$19,VLOOKUP(A121,'337'!$A$7:$AB$188,26,FALSE)))))</f>
        <v>2.7754521677086772</v>
      </c>
      <c r="F121" s="27">
        <f t="shared" si="21"/>
        <v>2.8699384163116402</v>
      </c>
      <c r="G121" s="28">
        <f t="shared" si="18"/>
        <v>189.9190228345291</v>
      </c>
      <c r="H121" s="1"/>
      <c r="I121" s="136">
        <f t="shared" si="17"/>
        <v>105.86648753792561</v>
      </c>
      <c r="J121" s="26">
        <f>IF(A121&gt;200,"",C121*'Adj-Barrows'!$C$6)</f>
        <v>1139.9134883297329</v>
      </c>
      <c r="K121" s="27">
        <f>IF(A121&gt;200,"",D121*'Adj-Barrows'!$C$7)</f>
        <v>0.31987928603464155</v>
      </c>
      <c r="L121" s="1">
        <f t="shared" si="13"/>
        <v>3.1261792921836906</v>
      </c>
      <c r="M121" s="27">
        <f t="shared" si="14"/>
        <v>3.5635739420972858</v>
      </c>
      <c r="N121" s="31">
        <f t="shared" si="19"/>
        <v>235.82055873920055</v>
      </c>
    </row>
    <row r="122" spans="1:14" x14ac:dyDescent="0.25">
      <c r="A122" s="26">
        <f t="shared" si="20"/>
        <v>140</v>
      </c>
      <c r="B122" s="28">
        <f>IF(A122&gt;200,"",IF($C$1='Adj-Mixed'!$A$21,VLOOKUP(A122,'337'!$A$6:$AB$188,2,FALSE),IF($C$1='Adj-Mixed'!$A$20,VLOOKUP(A122,'337'!$A$6:$AB$188,11,FALSE),IF($C$1='Adj-Mixed'!$A$19,VLOOKUP(A122,'337'!$A$6:$AB$188,20,FALSE)))))</f>
        <v>97.584776477966813</v>
      </c>
      <c r="C122" s="26">
        <f t="shared" si="15"/>
        <v>1032.6035308412713</v>
      </c>
      <c r="D122" s="27">
        <f t="shared" si="16"/>
        <v>0.3588131867048126</v>
      </c>
      <c r="E122" s="27">
        <f>IF(A122&gt;200,"",IF($C$1='Adj-Mixed'!$A$21,VLOOKUP(A122,'337'!$A$7:$AB$188,8,FALSE),IF($C$1='Adj-Mixed'!$A$20,VLOOKUP(A122,'337'!$A$7:$AB$188,17,FALSE),IF($C$1='Adj-Mixed'!$A$19,VLOOKUP(A122,'337'!$A$7:$AB$188,26,FALSE)))))</f>
        <v>2.7869655772229942</v>
      </c>
      <c r="F122" s="27">
        <f t="shared" si="21"/>
        <v>2.8778304953735456</v>
      </c>
      <c r="G122" s="28">
        <f t="shared" si="18"/>
        <v>192.79685332990266</v>
      </c>
      <c r="H122" s="1"/>
      <c r="I122" s="136">
        <f t="shared" si="17"/>
        <v>107.00481357001502</v>
      </c>
      <c r="J122" s="26">
        <f>IF(A122&gt;200,"",C122*'Adj-Barrows'!$C$6)</f>
        <v>1138.3260320894028</v>
      </c>
      <c r="K122" s="27">
        <f>IF(A122&gt;200,"",D122*'Adj-Barrows'!$C$7)</f>
        <v>0.31855781251327359</v>
      </c>
      <c r="L122" s="1">
        <f t="shared" si="13"/>
        <v>3.1391476231911035</v>
      </c>
      <c r="M122" s="27">
        <f t="shared" si="14"/>
        <v>3.5733734580500092</v>
      </c>
      <c r="N122" s="31">
        <f t="shared" si="19"/>
        <v>239.39393219725056</v>
      </c>
    </row>
    <row r="123" spans="1:14" x14ac:dyDescent="0.25">
      <c r="A123" s="26">
        <f t="shared" si="20"/>
        <v>141</v>
      </c>
      <c r="B123" s="28">
        <f>IF(A123&gt;200,"",IF($C$1='Adj-Mixed'!$A$21,VLOOKUP(A123,'337'!$A$6:$AB$188,2,FALSE),IF($C$1='Adj-Mixed'!$A$20,VLOOKUP(A123,'337'!$A$6:$AB$188,11,FALSE),IF($C$1='Adj-Mixed'!$A$19,VLOOKUP(A123,'337'!$A$6:$AB$188,20,FALSE)))))</f>
        <v>98.615839097413129</v>
      </c>
      <c r="C123" s="26">
        <f t="shared" si="15"/>
        <v>1031.0626194463168</v>
      </c>
      <c r="D123" s="27">
        <f t="shared" si="16"/>
        <v>0.35733329484554377</v>
      </c>
      <c r="E123" s="27">
        <f>IF(A123&gt;200,"",IF($C$1='Adj-Mixed'!$A$21,VLOOKUP(A123,'337'!$A$7:$AB$188,8,FALSE),IF($C$1='Adj-Mixed'!$A$20,VLOOKUP(A123,'337'!$A$7:$AB$188,17,FALSE),IF($C$1='Adj-Mixed'!$A$19,VLOOKUP(A123,'337'!$A$7:$AB$188,26,FALSE)))))</f>
        <v>2.7985077641092664</v>
      </c>
      <c r="F123" s="27">
        <f t="shared" si="21"/>
        <v>2.8854367458033559</v>
      </c>
      <c r="G123" s="28">
        <f t="shared" si="18"/>
        <v>195.68229007570602</v>
      </c>
      <c r="H123" s="1"/>
      <c r="I123" s="136">
        <f t="shared" si="17"/>
        <v>108.14144092540845</v>
      </c>
      <c r="J123" s="26">
        <f>IF(A123&gt;200,"",C123*'Adj-Barrows'!$C$6)</f>
        <v>1136.6273553934293</v>
      </c>
      <c r="K123" s="27">
        <f>IF(A123&gt;200,"",D123*'Adj-Barrows'!$C$7)</f>
        <v>0.31724395022807084</v>
      </c>
      <c r="L123" s="1">
        <f t="shared" si="13"/>
        <v>3.152148368096813</v>
      </c>
      <c r="M123" s="27">
        <f t="shared" si="14"/>
        <v>3.5828180634375948</v>
      </c>
      <c r="N123" s="31">
        <f t="shared" si="19"/>
        <v>242.97675026068816</v>
      </c>
    </row>
    <row r="124" spans="1:14" x14ac:dyDescent="0.25">
      <c r="A124" s="26">
        <f t="shared" si="20"/>
        <v>142</v>
      </c>
      <c r="B124" s="28">
        <f>IF(A124&gt;200,"",IF($C$1='Adj-Mixed'!$A$21,VLOOKUP(A124,'337'!$A$6:$AB$188,2,FALSE),IF($C$1='Adj-Mixed'!$A$20,VLOOKUP(A124,'337'!$A$6:$AB$188,11,FALSE),IF($C$1='Adj-Mixed'!$A$19,VLOOKUP(A124,'337'!$A$6:$AB$188,20,FALSE)))))</f>
        <v>99.645261997002081</v>
      </c>
      <c r="C124" s="26">
        <f t="shared" si="15"/>
        <v>1029.4228995889512</v>
      </c>
      <c r="D124" s="27">
        <f t="shared" si="16"/>
        <v>0.35586111758237693</v>
      </c>
      <c r="E124" s="27">
        <f>IF(A124&gt;200,"",IF($C$1='Adj-Mixed'!$A$21,VLOOKUP(A124,'337'!$A$7:$AB$188,8,FALSE),IF($C$1='Adj-Mixed'!$A$20,VLOOKUP(A124,'337'!$A$7:$AB$188,17,FALSE),IF($C$1='Adj-Mixed'!$A$19,VLOOKUP(A124,'337'!$A$7:$AB$188,26,FALSE)))))</f>
        <v>2.8100850320308282</v>
      </c>
      <c r="F124" s="27">
        <f t="shared" si="21"/>
        <v>2.8927658817646855</v>
      </c>
      <c r="G124" s="28">
        <f t="shared" si="18"/>
        <v>198.57505595747071</v>
      </c>
      <c r="H124" s="1"/>
      <c r="I124" s="136">
        <f t="shared" si="17"/>
        <v>109.27626067919756</v>
      </c>
      <c r="J124" s="26">
        <f>IF(A124&gt;200,"",C124*'Adj-Barrows'!$C$6)</f>
        <v>1134.8197537891112</v>
      </c>
      <c r="K124" s="27">
        <f>IF(A124&gt;200,"",D124*'Adj-Barrows'!$C$7)</f>
        <v>0.31593693703579362</v>
      </c>
      <c r="L124" s="1">
        <f t="shared" si="13"/>
        <v>3.1651886271427214</v>
      </c>
      <c r="M124" s="27">
        <f t="shared" si="14"/>
        <v>3.5919185785501977</v>
      </c>
      <c r="N124" s="31">
        <f t="shared" si="19"/>
        <v>246.56866883923837</v>
      </c>
    </row>
    <row r="125" spans="1:14" x14ac:dyDescent="0.25">
      <c r="A125" s="26">
        <f t="shared" si="20"/>
        <v>143</v>
      </c>
      <c r="B125" s="28">
        <f>IF(A125&gt;200,"",IF($C$1='Adj-Mixed'!$A$21,VLOOKUP(A125,'337'!$A$6:$AB$188,2,FALSE),IF($C$1='Adj-Mixed'!$A$20,VLOOKUP(A125,'337'!$A$6:$AB$188,11,FALSE),IF($C$1='Adj-Mixed'!$A$19,VLOOKUP(A125,'337'!$A$6:$AB$188,20,FALSE)))))</f>
        <v>100.6729484453562</v>
      </c>
      <c r="C125" s="26">
        <f t="shared" si="15"/>
        <v>1027.6864483541176</v>
      </c>
      <c r="D125" s="27">
        <f t="shared" si="16"/>
        <v>0.3543958430861639</v>
      </c>
      <c r="E125" s="27">
        <f>IF(A125&gt;200,"",IF($C$1='Adj-Mixed'!$A$21,VLOOKUP(A125,'337'!$A$7:$AB$188,8,FALSE),IF($C$1='Adj-Mixed'!$A$20,VLOOKUP(A125,'337'!$A$7:$AB$188,17,FALSE),IF($C$1='Adj-Mixed'!$A$19,VLOOKUP(A125,'337'!$A$7:$AB$188,26,FALSE)))))</f>
        <v>2.8217035258984993</v>
      </c>
      <c r="F125" s="27">
        <f t="shared" si="21"/>
        <v>2.8998264748389198</v>
      </c>
      <c r="G125" s="28">
        <f t="shared" si="18"/>
        <v>201.47488243230964</v>
      </c>
      <c r="H125" s="1"/>
      <c r="I125" s="136">
        <f t="shared" si="17"/>
        <v>110.40916619622007</v>
      </c>
      <c r="J125" s="26">
        <f>IF(A125&gt;200,"",C125*'Adj-Barrows'!$C$6)</f>
        <v>1132.905517022504</v>
      </c>
      <c r="K125" s="27">
        <f>IF(A125&gt;200,"",D125*'Adj-Barrows'!$C$7)</f>
        <v>0.31463605218668378</v>
      </c>
      <c r="L125" s="1">
        <f t="shared" si="13"/>
        <v>3.1782753217570487</v>
      </c>
      <c r="M125" s="27">
        <f t="shared" si="14"/>
        <v>3.6006856466350348</v>
      </c>
      <c r="N125" s="31">
        <f t="shared" si="19"/>
        <v>250.16935448587341</v>
      </c>
    </row>
    <row r="126" spans="1:14" x14ac:dyDescent="0.25">
      <c r="A126" s="26">
        <f t="shared" si="20"/>
        <v>144</v>
      </c>
      <c r="B126" s="28">
        <f>IF(A126&gt;200,"",IF($C$1='Adj-Mixed'!$A$21,VLOOKUP(A126,'337'!$A$6:$AB$188,2,FALSE),IF($C$1='Adj-Mixed'!$A$20,VLOOKUP(A126,'337'!$A$6:$AB$188,11,FALSE),IF($C$1='Adj-Mixed'!$A$19,VLOOKUP(A126,'337'!$A$6:$AB$188,20,FALSE)))))</f>
        <v>101.69880378179708</v>
      </c>
      <c r="C126" s="26">
        <f t="shared" si="15"/>
        <v>1025.855336440884</v>
      </c>
      <c r="D126" s="27">
        <f t="shared" si="16"/>
        <v>0.35293670467587951</v>
      </c>
      <c r="E126" s="27">
        <f>IF(A126&gt;200,"",IF($C$1='Adj-Mixed'!$A$21,VLOOKUP(A126,'337'!$A$7:$AB$188,8,FALSE),IF($C$1='Adj-Mixed'!$A$20,VLOOKUP(A126,'337'!$A$7:$AB$188,17,FALSE),IF($C$1='Adj-Mixed'!$A$19,VLOOKUP(A126,'337'!$A$7:$AB$188,26,FALSE)))))</f>
        <v>2.8333692323623665</v>
      </c>
      <c r="F126" s="27">
        <f t="shared" si="21"/>
        <v>2.9066269471263451</v>
      </c>
      <c r="G126" s="28">
        <f t="shared" si="18"/>
        <v>204.38150937943598</v>
      </c>
      <c r="H126" s="1"/>
      <c r="I126" s="136">
        <f t="shared" si="17"/>
        <v>111.54005312402005</v>
      </c>
      <c r="J126" s="26">
        <f>IF(A126&gt;200,"",C126*'Adj-Barrows'!$C$6)</f>
        <v>1130.8869277999738</v>
      </c>
      <c r="K126" s="27">
        <f>IF(A126&gt;200,"",D126*'Adj-Barrows'!$C$7)</f>
        <v>0.31334061501392269</v>
      </c>
      <c r="L126" s="1">
        <f t="shared" si="13"/>
        <v>3.191415195108259</v>
      </c>
      <c r="M126" s="27">
        <f t="shared" si="14"/>
        <v>3.6091297253301331</v>
      </c>
      <c r="N126" s="31">
        <f t="shared" si="19"/>
        <v>253.77848421120353</v>
      </c>
    </row>
    <row r="127" spans="1:14" x14ac:dyDescent="0.25">
      <c r="A127" s="26">
        <f t="shared" si="20"/>
        <v>145</v>
      </c>
      <c r="B127" s="28">
        <f>IF(A127&gt;200,"",IF($C$1='Adj-Mixed'!$A$21,VLOOKUP(A127,'337'!$A$6:$AB$188,2,FALSE),IF($C$1='Adj-Mixed'!$A$20,VLOOKUP(A127,'337'!$A$6:$AB$188,11,FALSE),IF($C$1='Adj-Mixed'!$A$19,VLOOKUP(A127,'337'!$A$6:$AB$188,20,FALSE)))))</f>
        <v>102.72273540887643</v>
      </c>
      <c r="C127" s="26">
        <f t="shared" si="15"/>
        <v>1023.9316270793495</v>
      </c>
      <c r="D127" s="27">
        <f t="shared" si="16"/>
        <v>0.35148297937016426</v>
      </c>
      <c r="E127" s="27">
        <f>IF(A127&gt;200,"",IF($C$1='Adj-Mixed'!$A$21,VLOOKUP(A127,'337'!$A$7:$AB$188,8,FALSE),IF($C$1='Adj-Mixed'!$A$20,VLOOKUP(A127,'337'!$A$7:$AB$188,17,FALSE),IF($C$1='Adj-Mixed'!$A$19,VLOOKUP(A127,'337'!$A$7:$AB$188,26,FALSE)))))</f>
        <v>2.8450879806240921</v>
      </c>
      <c r="F127" s="27">
        <f t="shared" si="21"/>
        <v>2.9131755651843272</v>
      </c>
      <c r="G127" s="28">
        <f t="shared" si="18"/>
        <v>207.29468494462031</v>
      </c>
      <c r="H127" s="1"/>
      <c r="I127" s="136">
        <f t="shared" si="17"/>
        <v>112.66881938461427</v>
      </c>
      <c r="J127" s="26">
        <f>IF(A127&gt;200,"",C127*'Adj-Barrows'!$C$6)</f>
        <v>1128.7662605942121</v>
      </c>
      <c r="K127" s="27">
        <f>IF(A127&gt;200,"",D127*'Adj-Barrows'!$C$7)</f>
        <v>0.31204998364767689</v>
      </c>
      <c r="L127" s="1">
        <f t="shared" si="13"/>
        <v>3.2046148130200187</v>
      </c>
      <c r="M127" s="27">
        <f t="shared" si="14"/>
        <v>3.6172610791374269</v>
      </c>
      <c r="N127" s="31">
        <f t="shared" si="19"/>
        <v>257.39574529034098</v>
      </c>
    </row>
    <row r="128" spans="1:14" x14ac:dyDescent="0.25">
      <c r="A128" s="26">
        <f t="shared" si="20"/>
        <v>146</v>
      </c>
      <c r="B128" s="28">
        <f>IF(A128&gt;200,"",IF($C$1='Adj-Mixed'!$A$21,VLOOKUP(A128,'337'!$A$6:$AB$188,2,FALSE),IF($C$1='Adj-Mixed'!$A$20,VLOOKUP(A128,'337'!$A$6:$AB$188,11,FALSE),IF($C$1='Adj-Mixed'!$A$19,VLOOKUP(A128,'337'!$A$6:$AB$188,20,FALSE)))))</f>
        <v>103.74465278386459</v>
      </c>
      <c r="C128" s="26">
        <f t="shared" si="15"/>
        <v>1021.9173749881634</v>
      </c>
      <c r="D128" s="27">
        <f t="shared" si="16"/>
        <v>0.3500339864657494</v>
      </c>
      <c r="E128" s="27">
        <f>IF(A128&gt;200,"",IF($C$1='Adj-Mixed'!$A$21,VLOOKUP(A128,'337'!$A$7:$AB$188,8,FALSE),IF($C$1='Adj-Mixed'!$A$20,VLOOKUP(A128,'337'!$A$7:$AB$188,17,FALSE),IF($C$1='Adj-Mixed'!$A$19,VLOOKUP(A128,'337'!$A$7:$AB$188,26,FALSE)))))</f>
        <v>2.8568654435441494</v>
      </c>
      <c r="F128" s="27">
        <f t="shared" si="21"/>
        <v>2.9194804347610321</v>
      </c>
      <c r="G128" s="28">
        <f t="shared" si="18"/>
        <v>210.21416537938134</v>
      </c>
      <c r="H128" s="1"/>
      <c r="I128" s="136">
        <f t="shared" si="17"/>
        <v>113.79536516510929</v>
      </c>
      <c r="J128" s="26">
        <f>IF(A128&gt;200,"",C128*'Adj-Barrows'!$C$6)</f>
        <v>1126.5457804950208</v>
      </c>
      <c r="K128" s="27">
        <f>IF(A128&gt;200,"",D128*'Adj-Barrows'!$C$7)</f>
        <v>0.31076355375301029</v>
      </c>
      <c r="L128" s="1">
        <f t="shared" si="13"/>
        <v>3.2178805652183504</v>
      </c>
      <c r="M128" s="27">
        <f t="shared" si="14"/>
        <v>3.6250897728836651</v>
      </c>
      <c r="N128" s="31">
        <f t="shared" si="19"/>
        <v>261.02083506322464</v>
      </c>
    </row>
    <row r="129" spans="1:14" x14ac:dyDescent="0.25">
      <c r="A129" s="26">
        <f t="shared" si="20"/>
        <v>147</v>
      </c>
      <c r="B129" s="28">
        <f>IF(A129&gt;200,"",IF($C$1='Adj-Mixed'!$A$21,VLOOKUP(A129,'337'!$A$6:$AB$188,2,FALSE),IF($C$1='Adj-Mixed'!$A$20,VLOOKUP(A129,'337'!$A$6:$AB$188,11,FALSE),IF($C$1='Adj-Mixed'!$A$19,VLOOKUP(A129,'337'!$A$6:$AB$188,20,FALSE)))))</f>
        <v>104.76446740923652</v>
      </c>
      <c r="C129" s="26">
        <f t="shared" si="15"/>
        <v>1019.8146253719216</v>
      </c>
      <c r="D129" s="27">
        <f t="shared" si="16"/>
        <v>0.34858908614177647</v>
      </c>
      <c r="E129" s="27">
        <f>IF(A129&gt;200,"",IF($C$1='Adj-Mixed'!$A$21,VLOOKUP(A129,'337'!$A$7:$AB$188,8,FALSE),IF($C$1='Adj-Mixed'!$A$20,VLOOKUP(A129,'337'!$A$7:$AB$188,17,FALSE),IF($C$1='Adj-Mixed'!$A$19,VLOOKUP(A129,'337'!$A$7:$AB$188,26,FALSE)))))</f>
        <v>2.8687071390218017</v>
      </c>
      <c r="F129" s="27">
        <f t="shared" si="21"/>
        <v>2.925549496283276</v>
      </c>
      <c r="G129" s="28">
        <f t="shared" si="18"/>
        <v>213.13971487566462</v>
      </c>
      <c r="H129" s="1"/>
      <c r="I129" s="136">
        <f t="shared" si="17"/>
        <v>114.91959290721334</v>
      </c>
      <c r="J129" s="26">
        <f>IF(A129&gt;200,"",C129*'Adj-Barrows'!$C$6)</f>
        <v>1124.2277421040578</v>
      </c>
      <c r="K129" s="27">
        <f>IF(A129&gt;200,"",D129*'Adj-Barrows'!$C$7)</f>
        <v>0.3094807572907855</v>
      </c>
      <c r="L129" s="1">
        <f t="shared" si="13"/>
        <v>3.2312186668859946</v>
      </c>
      <c r="M129" s="27">
        <f t="shared" si="14"/>
        <v>3.6326256661177254</v>
      </c>
      <c r="N129" s="31">
        <f t="shared" si="19"/>
        <v>264.65346072934238</v>
      </c>
    </row>
    <row r="130" spans="1:14" x14ac:dyDescent="0.25">
      <c r="A130" s="26">
        <f t="shared" si="20"/>
        <v>148</v>
      </c>
      <c r="B130" s="28">
        <f>IF(A130&gt;200,"",IF($C$1='Adj-Mixed'!$A$21,VLOOKUP(A130,'337'!$A$6:$AB$188,2,FALSE),IF($C$1='Adj-Mixed'!$A$20,VLOOKUP(A130,'337'!$A$6:$AB$188,11,FALSE),IF($C$1='Adj-Mixed'!$A$19,VLOOKUP(A130,'337'!$A$6:$AB$188,20,FALSE)))))</f>
        <v>105.78209282219514</v>
      </c>
      <c r="C130" s="26">
        <f t="shared" si="15"/>
        <v>1017.6254129586226</v>
      </c>
      <c r="D130" s="27">
        <f t="shared" si="16"/>
        <v>0.34714767808950286</v>
      </c>
      <c r="E130" s="27">
        <f>IF(A130&gt;200,"",IF($C$1='Adj-Mixed'!$A$21,VLOOKUP(A130,'337'!$A$7:$AB$188,8,FALSE),IF($C$1='Adj-Mixed'!$A$20,VLOOKUP(A130,'337'!$A$7:$AB$188,17,FALSE),IF($C$1='Adj-Mixed'!$A$19,VLOOKUP(A130,'337'!$A$7:$AB$188,26,FALSE)))))</f>
        <v>2.8806184316237204</v>
      </c>
      <c r="F130" s="27">
        <f t="shared" si="21"/>
        <v>2.9313905210573084</v>
      </c>
      <c r="G130" s="28">
        <f t="shared" si="18"/>
        <v>216.07110539672192</v>
      </c>
      <c r="H130" s="1"/>
      <c r="I130" s="136">
        <f t="shared" si="17"/>
        <v>116.04140729568708</v>
      </c>
      <c r="J130" s="26">
        <f>IF(A130&gt;200,"",C130*'Adj-Barrows'!$C$6)</f>
        <v>1121.8143884737431</v>
      </c>
      <c r="K130" s="27">
        <f>IF(A130&gt;200,"",D130*'Adj-Barrows'!$C$7)</f>
        <v>0.30820106130110314</v>
      </c>
      <c r="L130" s="1">
        <f t="shared" si="13"/>
        <v>3.244635160496836</v>
      </c>
      <c r="M130" s="27">
        <f t="shared" si="14"/>
        <v>3.6398784083931632</v>
      </c>
      <c r="N130" s="31">
        <f t="shared" si="19"/>
        <v>268.29333913773553</v>
      </c>
    </row>
    <row r="131" spans="1:14" x14ac:dyDescent="0.25">
      <c r="A131" s="26">
        <f t="shared" si="20"/>
        <v>149</v>
      </c>
      <c r="B131" s="28">
        <f>IF(A131&gt;200,"",IF($C$1='Adj-Mixed'!$A$21,VLOOKUP(A131,'337'!$A$6:$AB$188,2,FALSE),IF($C$1='Adj-Mixed'!$A$20,VLOOKUP(A131,'337'!$A$6:$AB$188,11,FALSE),IF($C$1='Adj-Mixed'!$A$19,VLOOKUP(A131,'337'!$A$6:$AB$188,20,FALSE)))))</f>
        <v>106.79744458327079</v>
      </c>
      <c r="C131" s="26">
        <f t="shared" si="15"/>
        <v>1015.3517610756495</v>
      </c>
      <c r="D131" s="27">
        <f t="shared" si="16"/>
        <v>0.34570920016644197</v>
      </c>
      <c r="E131" s="27">
        <f>IF(A131&gt;200,"",IF($C$1='Adj-Mixed'!$A$21,VLOOKUP(A131,'337'!$A$7:$AB$188,8,FALSE),IF($C$1='Adj-Mixed'!$A$20,VLOOKUP(A131,'337'!$A$7:$AB$188,17,FALSE),IF($C$1='Adj-Mixed'!$A$19,VLOOKUP(A131,'337'!$A$7:$AB$188,26,FALSE)))))</f>
        <v>2.8926045344426736</v>
      </c>
      <c r="F131" s="27">
        <f t="shared" si="21"/>
        <v>2.9370111081417782</v>
      </c>
      <c r="G131" s="28">
        <f t="shared" si="18"/>
        <v>219.00811650486369</v>
      </c>
      <c r="H131" s="1"/>
      <c r="I131" s="136">
        <f t="shared" si="17"/>
        <v>117.16071524577572</v>
      </c>
      <c r="J131" s="26">
        <f>IF(A131&gt;200,"",C131*'Adj-Barrows'!$C$6)</f>
        <v>1119.3079500886363</v>
      </c>
      <c r="K131" s="27">
        <f>IF(A131&gt;200,"",D131*'Adj-Barrows'!$C$7)</f>
        <v>0.30692396670843453</v>
      </c>
      <c r="L131" s="1">
        <f t="shared" si="13"/>
        <v>3.2581359179094669</v>
      </c>
      <c r="M131" s="27">
        <f t="shared" si="14"/>
        <v>3.6468574353854026</v>
      </c>
      <c r="N131" s="31">
        <f t="shared" si="19"/>
        <v>271.94019657312094</v>
      </c>
    </row>
    <row r="132" spans="1:14" x14ac:dyDescent="0.25">
      <c r="A132" s="26">
        <f t="shared" si="20"/>
        <v>150</v>
      </c>
      <c r="B132" s="28">
        <f>IF(A132&gt;200,"",IF($C$1='Adj-Mixed'!$A$21,VLOOKUP(A132,'337'!$A$6:$AB$188,2,FALSE),IF($C$1='Adj-Mixed'!$A$20,VLOOKUP(A132,'337'!$A$6:$AB$188,11,FALSE),IF($C$1='Adj-Mixed'!$A$19,VLOOKUP(A132,'337'!$A$6:$AB$188,20,FALSE)))))</f>
        <v>107.81044026403629</v>
      </c>
      <c r="C132" s="26">
        <f t="shared" si="15"/>
        <v>1012.9956807654992</v>
      </c>
      <c r="D132" s="27">
        <f t="shared" si="16"/>
        <v>0.34427312707506291</v>
      </c>
      <c r="E132" s="27">
        <f>IF(A132&gt;200,"",IF($C$1='Adj-Mixed'!$A$21,VLOOKUP(A132,'337'!$A$7:$AB$188,8,FALSE),IF($C$1='Adj-Mixed'!$A$20,VLOOKUP(A132,'337'!$A$7:$AB$188,17,FALSE),IF($C$1='Adj-Mixed'!$A$19,VLOOKUP(A132,'337'!$A$7:$AB$188,26,FALSE)))))</f>
        <v>2.9046705111606546</v>
      </c>
      <c r="F132" s="27">
        <f t="shared" si="21"/>
        <v>2.9424186818526579</v>
      </c>
      <c r="G132" s="28">
        <f t="shared" si="18"/>
        <v>221.95053518671637</v>
      </c>
      <c r="H132" s="1"/>
      <c r="I132" s="136">
        <f t="shared" si="17"/>
        <v>118.27742588966635</v>
      </c>
      <c r="J132" s="26">
        <f>IF(A132&gt;200,"",C132*'Adj-Barrows'!$C$6)</f>
        <v>1116.7106438906299</v>
      </c>
      <c r="K132" s="27">
        <f>IF(A132&gt;200,"",D132*'Adj-Barrows'!$C$7)</f>
        <v>0.30564900714855847</v>
      </c>
      <c r="L132" s="1">
        <f t="shared" ref="L132:L185" si="22">IF(A132&gt;200,"",1/K132)</f>
        <v>3.2717266426910308</v>
      </c>
      <c r="M132" s="27">
        <f t="shared" ref="M132:M185" si="23">IF(A132&gt;200,"",(J132/1000)/K132)</f>
        <v>3.653571965793629</v>
      </c>
      <c r="N132" s="31">
        <f t="shared" si="19"/>
        <v>275.59376853891456</v>
      </c>
    </row>
    <row r="133" spans="1:14" x14ac:dyDescent="0.25">
      <c r="A133" s="26">
        <f t="shared" si="20"/>
        <v>151</v>
      </c>
      <c r="B133" s="28">
        <f>IF(A133&gt;200,"",IF($C$1='Adj-Mixed'!$A$21,VLOOKUP(A133,'337'!$A$6:$AB$188,2,FALSE),IF($C$1='Adj-Mixed'!$A$20,VLOOKUP(A133,'337'!$A$6:$AB$188,11,FALSE),IF($C$1='Adj-Mixed'!$A$19,VLOOKUP(A133,'337'!$A$6:$AB$188,20,FALSE)))))</f>
        <v>108.82099943397567</v>
      </c>
      <c r="C133" s="26">
        <f t="shared" ref="C133:C185" si="24">IF(A133&gt;200,"",(B133-B132)*1000)</f>
        <v>1010.5591699393841</v>
      </c>
      <c r="D133" s="27">
        <f t="shared" ref="D133:D185" si="25">IF(A133&gt;200,"",1/E133)</f>
        <v>0.3428389690652236</v>
      </c>
      <c r="E133" s="27">
        <f>IF(A133&gt;200,"",IF($C$1='Adj-Mixed'!$A$21,VLOOKUP(A133,'337'!$A$7:$AB$188,8,FALSE),IF($C$1='Adj-Mixed'!$A$20,VLOOKUP(A133,'337'!$A$7:$AB$188,17,FALSE),IF($C$1='Adj-Mixed'!$A$19,VLOOKUP(A133,'337'!$A$7:$AB$188,26,FALSE)))))</f>
        <v>2.9168212783003509</v>
      </c>
      <c r="F133" s="27">
        <f t="shared" si="21"/>
        <v>2.9476204898607357</v>
      </c>
      <c r="G133" s="28">
        <f t="shared" si="18"/>
        <v>224.89815567657709</v>
      </c>
      <c r="H133" s="1"/>
      <c r="I133" s="136">
        <f t="shared" ref="I133:I185" si="26">IF(A133&gt;200,"",I132+(J133/1000))</f>
        <v>119.39145056201224</v>
      </c>
      <c r="J133" s="26">
        <f>IF(A133&gt;200,"",C133*'Adj-Barrows'!$C$6)</f>
        <v>1114.0246723458931</v>
      </c>
      <c r="K133" s="27">
        <f>IF(A133&gt;200,"",D133*'Adj-Barrows'!$C$7)</f>
        <v>0.30437574781656895</v>
      </c>
      <c r="L133" s="1">
        <f t="shared" si="22"/>
        <v>3.2854128726532008</v>
      </c>
      <c r="M133" s="27">
        <f t="shared" si="23"/>
        <v>3.6600309989784612</v>
      </c>
      <c r="N133" s="31">
        <f t="shared" si="19"/>
        <v>279.25379953789303</v>
      </c>
    </row>
    <row r="134" spans="1:14" x14ac:dyDescent="0.25">
      <c r="A134" s="26">
        <f t="shared" si="20"/>
        <v>152</v>
      </c>
      <c r="B134" s="28">
        <f>IF(A134&gt;200,"",IF($C$1='Adj-Mixed'!$A$21,VLOOKUP(A134,'337'!$A$6:$AB$188,2,FALSE),IF($C$1='Adj-Mixed'!$A$20,VLOOKUP(A134,'337'!$A$6:$AB$188,11,FALSE),IF($C$1='Adj-Mixed'!$A$19,VLOOKUP(A134,'337'!$A$6:$AB$188,20,FALSE)))))</f>
        <v>109.82904364654478</v>
      </c>
      <c r="C134" s="26">
        <f t="shared" si="24"/>
        <v>1008.0442125691036</v>
      </c>
      <c r="D134" s="27">
        <f t="shared" si="25"/>
        <v>0.34140627066039952</v>
      </c>
      <c r="E134" s="27">
        <f>IF(A134&gt;200,"",IF($C$1='Adj-Mixed'!$A$21,VLOOKUP(A134,'337'!$A$7:$AB$188,8,FALSE),IF($C$1='Adj-Mixed'!$A$20,VLOOKUP(A134,'337'!$A$7:$AB$188,17,FALSE),IF($C$1='Adj-Mixed'!$A$19,VLOOKUP(A134,'337'!$A$7:$AB$188,26,FALSE)))))</f>
        <v>2.9290616076431437</v>
      </c>
      <c r="F134" s="27">
        <f t="shared" si="21"/>
        <v>2.9526236018430256</v>
      </c>
      <c r="G134" s="28">
        <f t="shared" ref="G134:G185" si="27">IF(A134&gt;200,"",F134+G133)</f>
        <v>227.85077927842011</v>
      </c>
      <c r="H134" s="1"/>
      <c r="I134" s="136">
        <f t="shared" si="26"/>
        <v>120.50270278456624</v>
      </c>
      <c r="J134" s="26">
        <f>IF(A134&gt;200,"",C134*'Adj-Barrows'!$C$6)</f>
        <v>1111.2522225540033</v>
      </c>
      <c r="K134" s="27">
        <f>IF(A134&gt;200,"",D134*'Adj-Barrows'!$C$7)</f>
        <v>0.3031037843360086</v>
      </c>
      <c r="L134" s="1">
        <f t="shared" si="22"/>
        <v>3.2991999825757388</v>
      </c>
      <c r="M134" s="27">
        <f t="shared" si="23"/>
        <v>3.6662433132874188</v>
      </c>
      <c r="N134" s="31">
        <f t="shared" ref="N134:N185" si="28">IF(A134&gt;200,"",N133+M134)</f>
        <v>282.92004285118043</v>
      </c>
    </row>
    <row r="135" spans="1:14" x14ac:dyDescent="0.25">
      <c r="A135" s="26">
        <f t="shared" si="20"/>
        <v>153</v>
      </c>
      <c r="B135" s="28">
        <f>IF(A135&gt;200,"",IF($C$1='Adj-Mixed'!$A$21,VLOOKUP(A135,'337'!$A$6:$AB$188,2,FALSE),IF($C$1='Adj-Mixed'!$A$20,VLOOKUP(A135,'337'!$A$6:$AB$188,11,FALSE),IF($C$1='Adj-Mixed'!$A$19,VLOOKUP(A135,'337'!$A$6:$AB$188,20,FALSE)))))</f>
        <v>110.83449642446033</v>
      </c>
      <c r="C135" s="26">
        <f t="shared" si="24"/>
        <v>1005.4527779155507</v>
      </c>
      <c r="D135" s="27">
        <f t="shared" si="25"/>
        <v>0.33997460940715724</v>
      </c>
      <c r="E135" s="27">
        <f>IF(A135&gt;200,"",IF($C$1='Adj-Mixed'!$A$21,VLOOKUP(A135,'337'!$A$7:$AB$188,8,FALSE),IF($C$1='Adj-Mixed'!$A$20,VLOOKUP(A135,'337'!$A$7:$AB$188,17,FALSE),IF($C$1='Adj-Mixed'!$A$19,VLOOKUP(A135,'337'!$A$7:$AB$188,26,FALSE)))))</f>
        <v>2.9413961287985164</v>
      </c>
      <c r="F135" s="27">
        <f t="shared" si="21"/>
        <v>2.9574349086505154</v>
      </c>
      <c r="G135" s="28">
        <f t="shared" si="27"/>
        <v>230.80821418707063</v>
      </c>
      <c r="H135" s="1"/>
      <c r="I135" s="136">
        <f t="shared" si="26"/>
        <v>121.6110982499637</v>
      </c>
      <c r="J135" s="26">
        <f>IF(A135&gt;200,"",C135*'Adj-Barrows'!$C$6)</f>
        <v>1108.3954653974647</v>
      </c>
      <c r="K135" s="27">
        <f>IF(A135&gt;200,"",D135*'Adj-Barrows'!$C$7)</f>
        <v>0.30183274164863916</v>
      </c>
      <c r="L135" s="1">
        <f t="shared" si="22"/>
        <v>3.3130931871005935</v>
      </c>
      <c r="M135" s="27">
        <f t="shared" si="23"/>
        <v>3.6722174650215322</v>
      </c>
      <c r="N135" s="31">
        <f t="shared" si="28"/>
        <v>286.59226031620199</v>
      </c>
    </row>
    <row r="136" spans="1:14" x14ac:dyDescent="0.25">
      <c r="A136" s="26">
        <f t="shared" si="20"/>
        <v>154</v>
      </c>
      <c r="B136" s="28">
        <f>IF(A136&gt;200,"",IF($C$1='Adj-Mixed'!$A$21,VLOOKUP(A136,'337'!$A$6:$AB$188,2,FALSE),IF($C$1='Adj-Mixed'!$A$20,VLOOKUP(A136,'337'!$A$6:$AB$188,11,FALSE),IF($C$1='Adj-Mixed'!$A$19,VLOOKUP(A136,'337'!$A$6:$AB$188,20,FALSE)))))</f>
        <v>111.83728324425583</v>
      </c>
      <c r="C136" s="26">
        <f t="shared" si="24"/>
        <v>1002.786819795503</v>
      </c>
      <c r="D136" s="27">
        <f t="shared" si="25"/>
        <v>0.33854359464852141</v>
      </c>
      <c r="E136" s="27">
        <f>IF(A136&gt;200,"",IF($C$1='Adj-Mixed'!$A$21,VLOOKUP(A136,'337'!$A$7:$AB$188,8,FALSE),IF($C$1='Adj-Mixed'!$A$20,VLOOKUP(A136,'337'!$A$7:$AB$188,17,FALSE),IF($C$1='Adj-Mixed'!$A$19,VLOOKUP(A136,'337'!$A$7:$AB$188,26,FALSE)))))</f>
        <v>2.9538293319009852</v>
      </c>
      <c r="F136" s="27">
        <f t="shared" si="21"/>
        <v>2.9620611219556641</v>
      </c>
      <c r="G136" s="28">
        <f t="shared" si="27"/>
        <v>233.77027530902629</v>
      </c>
      <c r="H136" s="1"/>
      <c r="I136" s="136">
        <f t="shared" si="26"/>
        <v>122.71655480469713</v>
      </c>
      <c r="J136" s="26">
        <f>IF(A136&gt;200,"",C136*'Adj-Barrows'!$C$6)</f>
        <v>1105.4565547334289</v>
      </c>
      <c r="K136" s="27">
        <f>IF(A136&gt;200,"",D136*'Adj-Barrows'!$C$7)</f>
        <v>0.30056227292542503</v>
      </c>
      <c r="L136" s="1">
        <f t="shared" si="22"/>
        <v>3.327097543769634</v>
      </c>
      <c r="M136" s="27">
        <f t="shared" si="23"/>
        <v>3.6779617879976336</v>
      </c>
      <c r="N136" s="31">
        <f t="shared" si="28"/>
        <v>290.2702221041996</v>
      </c>
    </row>
    <row r="137" spans="1:14" x14ac:dyDescent="0.25">
      <c r="A137" s="26">
        <f t="shared" si="20"/>
        <v>155</v>
      </c>
      <c r="B137" s="28">
        <f>IF(A137&gt;200,"",IF($C$1='Adj-Mixed'!$A$21,VLOOKUP(A137,'337'!$A$6:$AB$188,2,FALSE),IF($C$1='Adj-Mixed'!$A$20,VLOOKUP(A137,'337'!$A$6:$AB$188,11,FALSE),IF($C$1='Adj-Mixed'!$A$19,VLOOKUP(A137,'337'!$A$6:$AB$188,20,FALSE)))))</f>
        <v>112.8373315201386</v>
      </c>
      <c r="C137" s="26">
        <f t="shared" si="24"/>
        <v>1000.0482758827758</v>
      </c>
      <c r="D137" s="27">
        <f t="shared" si="25"/>
        <v>0.337112866320052</v>
      </c>
      <c r="E137" s="27">
        <f>IF(A137&gt;200,"",IF($C$1='Adj-Mixed'!$A$21,VLOOKUP(A137,'337'!$A$7:$AB$188,8,FALSE),IF($C$1='Adj-Mixed'!$A$20,VLOOKUP(A137,'337'!$A$7:$AB$188,17,FALSE),IF($C$1='Adj-Mixed'!$A$19,VLOOKUP(A137,'337'!$A$7:$AB$188,26,FALSE)))))</f>
        <v>2.9663655704277057</v>
      </c>
      <c r="F137" s="27">
        <f t="shared" si="21"/>
        <v>2.9665087743442538</v>
      </c>
      <c r="G137" s="28">
        <f t="shared" si="27"/>
        <v>236.73678408337054</v>
      </c>
      <c r="H137" s="1"/>
      <c r="I137" s="136">
        <f t="shared" si="26"/>
        <v>123.81899243132042</v>
      </c>
      <c r="J137" s="26">
        <f>IF(A137&gt;200,"",C137*'Adj-Barrows'!$C$6)</f>
        <v>1102.4376266232978</v>
      </c>
      <c r="K137" s="27">
        <f>IF(A137&gt;200,"",D137*'Adj-Barrows'!$C$7)</f>
        <v>0.29929205849767904</v>
      </c>
      <c r="L137" s="1">
        <f t="shared" si="22"/>
        <v>3.3412179561983093</v>
      </c>
      <c r="M137" s="27">
        <f t="shared" si="23"/>
        <v>3.6834843936624102</v>
      </c>
      <c r="N137" s="31">
        <f t="shared" si="28"/>
        <v>293.95370649786202</v>
      </c>
    </row>
    <row r="138" spans="1:14" x14ac:dyDescent="0.25">
      <c r="A138" s="26">
        <f t="shared" si="20"/>
        <v>156</v>
      </c>
      <c r="B138" s="28">
        <f>IF(A138&gt;200,"",IF($C$1='Adj-Mixed'!$A$21,VLOOKUP(A138,'337'!$A$6:$AB$188,2,FALSE),IF($C$1='Adj-Mixed'!$A$20,VLOOKUP(A138,'337'!$A$6:$AB$188,11,FALSE),IF($C$1='Adj-Mixed'!$A$19,VLOOKUP(A138,'337'!$A$6:$AB$188,20,FALSE)))))</f>
        <v>113.83457058718534</v>
      </c>
      <c r="C138" s="26">
        <f t="shared" si="24"/>
        <v>997.23906704673482</v>
      </c>
      <c r="D138" s="27">
        <f t="shared" si="25"/>
        <v>0.33568209376985386</v>
      </c>
      <c r="E138" s="27">
        <f>IF(A138&gt;200,"",IF($C$1='Adj-Mixed'!$A$21,VLOOKUP(A138,'337'!$A$7:$AB$188,8,FALSE),IF($C$1='Adj-Mixed'!$A$20,VLOOKUP(A138,'337'!$A$7:$AB$188,17,FALSE),IF($C$1='Adj-Mixed'!$A$19,VLOOKUP(A138,'337'!$A$7:$AB$188,26,FALSE)))))</f>
        <v>2.9790090641105431</v>
      </c>
      <c r="F138" s="27">
        <f t="shared" si="21"/>
        <v>2.9707842198173648</v>
      </c>
      <c r="G138" s="28">
        <f t="shared" si="27"/>
        <v>239.70756830318791</v>
      </c>
      <c r="H138" s="1"/>
      <c r="I138" s="136">
        <f t="shared" si="26"/>
        <v>124.91833322992393</v>
      </c>
      <c r="J138" s="26">
        <f>IF(A138&gt;200,"",C138*'Adj-Barrows'!$C$6)</f>
        <v>1099.3407986035102</v>
      </c>
      <c r="K138" s="27">
        <f>IF(A138&gt;200,"",D138*'Adj-Barrows'!$C$7)</f>
        <v>0.29802180480945512</v>
      </c>
      <c r="L138" s="1">
        <f t="shared" si="22"/>
        <v>3.3554591773557161</v>
      </c>
      <c r="M138" s="27">
        <f t="shared" si="23"/>
        <v>3.6887931717157101</v>
      </c>
      <c r="N138" s="31">
        <f t="shared" si="28"/>
        <v>297.64249966957772</v>
      </c>
    </row>
    <row r="139" spans="1:14" x14ac:dyDescent="0.25">
      <c r="A139" s="26">
        <f t="shared" si="20"/>
        <v>157</v>
      </c>
      <c r="B139" s="28">
        <f>IF(A139&gt;200,"",IF($C$1='Adj-Mixed'!$A$21,VLOOKUP(A139,'337'!$A$6:$AB$188,2,FALSE),IF($C$1='Adj-Mixed'!$A$20,VLOOKUP(A139,'337'!$A$6:$AB$188,11,FALSE),IF($C$1='Adj-Mixed'!$A$19,VLOOKUP(A139,'337'!$A$6:$AB$188,20,FALSE)))))</f>
        <v>114.82893168390999</v>
      </c>
      <c r="C139" s="26">
        <f t="shared" si="24"/>
        <v>994.36109672464568</v>
      </c>
      <c r="D139" s="27">
        <f t="shared" si="25"/>
        <v>0.33425097460157221</v>
      </c>
      <c r="E139" s="27">
        <f>IF(A139&gt;200,"",IF($C$1='Adj-Mixed'!$A$21,VLOOKUP(A139,'337'!$A$7:$AB$188,8,FALSE),IF($C$1='Adj-Mixed'!$A$20,VLOOKUP(A139,'337'!$A$7:$AB$188,17,FALSE),IF($C$1='Adj-Mixed'!$A$19,VLOOKUP(A139,'337'!$A$7:$AB$188,26,FALSE)))))</f>
        <v>2.9917639019362676</v>
      </c>
      <c r="F139" s="27">
        <f t="shared" si="21"/>
        <v>2.9748936346705523</v>
      </c>
      <c r="G139" s="28">
        <f t="shared" si="27"/>
        <v>242.68246193785848</v>
      </c>
      <c r="H139" s="1"/>
      <c r="I139" s="136">
        <f t="shared" si="26"/>
        <v>126.01450139891756</v>
      </c>
      <c r="J139" s="26">
        <f>IF(A139&gt;200,"",C139*'Adj-Barrows'!$C$6)</f>
        <v>1096.168168993629</v>
      </c>
      <c r="K139" s="27">
        <f>IF(A139&gt;200,"",D139*'Adj-Barrows'!$C$7)</f>
        <v>0.29675124339034908</v>
      </c>
      <c r="L139" s="1">
        <f t="shared" si="22"/>
        <v>3.3698258129439127</v>
      </c>
      <c r="M139" s="27">
        <f t="shared" si="23"/>
        <v>3.6938957912021966</v>
      </c>
      <c r="N139" s="31">
        <f t="shared" si="28"/>
        <v>301.3363954607799</v>
      </c>
    </row>
    <row r="140" spans="1:14" x14ac:dyDescent="0.25">
      <c r="A140" s="26">
        <f t="shared" si="20"/>
        <v>158</v>
      </c>
      <c r="B140" s="28">
        <f>IF(A140&gt;200,"",IF($C$1='Adj-Mixed'!$A$21,VLOOKUP(A140,'337'!$A$6:$AB$188,2,FALSE),IF($C$1='Adj-Mixed'!$A$20,VLOOKUP(A140,'337'!$A$6:$AB$188,11,FALSE),IF($C$1='Adj-Mixed'!$A$19,VLOOKUP(A140,'337'!$A$6:$AB$188,20,FALSE)))))</f>
        <v>115.82034793423895</v>
      </c>
      <c r="C140" s="26">
        <f t="shared" si="24"/>
        <v>991.41625032896741</v>
      </c>
      <c r="D140" s="27">
        <f t="shared" si="25"/>
        <v>0.33281923354103232</v>
      </c>
      <c r="E140" s="27">
        <f>IF(A140&gt;200,"",IF($C$1='Adj-Mixed'!$A$21,VLOOKUP(A140,'337'!$A$7:$AB$188,8,FALSE),IF($C$1='Adj-Mixed'!$A$20,VLOOKUP(A140,'337'!$A$7:$AB$188,17,FALSE),IF($C$1='Adj-Mixed'!$A$19,VLOOKUP(A140,'337'!$A$7:$AB$188,26,FALSE)))))</f>
        <v>3.0046340452157581</v>
      </c>
      <c r="F140" s="27">
        <f t="shared" si="21"/>
        <v>2.9788430187185639</v>
      </c>
      <c r="G140" s="28">
        <f t="shared" si="27"/>
        <v>245.66130495657706</v>
      </c>
      <c r="H140" s="1"/>
      <c r="I140" s="136">
        <f t="shared" si="26"/>
        <v>127.10742321516051</v>
      </c>
      <c r="J140" s="26">
        <f>IF(A140&gt;200,"",C140*'Adj-Barrows'!$C$6)</f>
        <v>1092.9218162429522</v>
      </c>
      <c r="K140" s="27">
        <f>IF(A140&gt;200,"",D140*'Adj-Barrows'!$C$7)</f>
        <v>0.29548012984929012</v>
      </c>
      <c r="L140" s="1">
        <f t="shared" si="22"/>
        <v>3.3843223248549767</v>
      </c>
      <c r="M140" s="27">
        <f t="shared" si="23"/>
        <v>3.6987997020320718</v>
      </c>
      <c r="N140" s="31">
        <f t="shared" si="28"/>
        <v>305.03519516281199</v>
      </c>
    </row>
    <row r="141" spans="1:14" x14ac:dyDescent="0.25">
      <c r="A141" s="26">
        <f t="shared" si="20"/>
        <v>159</v>
      </c>
      <c r="B141" s="28">
        <f>IF(A141&gt;200,"",IF($C$1='Adj-Mixed'!$A$21,VLOOKUP(A141,'337'!$A$6:$AB$188,2,FALSE),IF($C$1='Adj-Mixed'!$A$20,VLOOKUP(A141,'337'!$A$6:$AB$188,11,FALSE),IF($C$1='Adj-Mixed'!$A$19,VLOOKUP(A141,'337'!$A$6:$AB$188,20,FALSE)))))</f>
        <v>116.80875432892709</v>
      </c>
      <c r="C141" s="26">
        <f t="shared" si="24"/>
        <v>988.40639468814118</v>
      </c>
      <c r="D141" s="27">
        <f t="shared" si="25"/>
        <v>0.3313866213263425</v>
      </c>
      <c r="E141" s="27">
        <f>IF(A141&gt;200,"",IF($C$1='Adj-Mixed'!$A$21,VLOOKUP(A141,'337'!$A$7:$AB$188,8,FALSE),IF($C$1='Adj-Mixed'!$A$20,VLOOKUP(A141,'337'!$A$7:$AB$188,17,FALSE),IF($C$1='Adj-Mixed'!$A$19,VLOOKUP(A141,'337'!$A$7:$AB$188,26,FALSE)))))</f>
        <v>3.0176233307114146</v>
      </c>
      <c r="F141" s="27">
        <f t="shared" si="21"/>
        <v>2.98263819683529</v>
      </c>
      <c r="G141" s="28">
        <f t="shared" si="27"/>
        <v>248.64394315341235</v>
      </c>
      <c r="H141" s="1"/>
      <c r="I141" s="136">
        <f t="shared" si="26"/>
        <v>128.19702701347455</v>
      </c>
      <c r="J141" s="26">
        <f>IF(A141&gt;200,"",C141*'Adj-Barrows'!$C$6)</f>
        <v>1089.6037983140454</v>
      </c>
      <c r="K141" s="27">
        <f>IF(A141&gt;200,"",D141*'Adj-Barrows'!$C$7)</f>
        <v>0.29420824288916331</v>
      </c>
      <c r="L141" s="1">
        <f t="shared" si="22"/>
        <v>3.3989530346936223</v>
      </c>
      <c r="M141" s="27">
        <f t="shared" si="23"/>
        <v>3.7035121368932225</v>
      </c>
      <c r="N141" s="31">
        <f t="shared" si="28"/>
        <v>308.7387072997052</v>
      </c>
    </row>
    <row r="142" spans="1:14" x14ac:dyDescent="0.25">
      <c r="A142" s="26">
        <f t="shared" si="20"/>
        <v>160</v>
      </c>
      <c r="B142" s="28">
        <f>IF(A142&gt;200,"",IF($C$1='Adj-Mixed'!$A$21,VLOOKUP(A142,'337'!$A$6:$AB$188,2,FALSE),IF($C$1='Adj-Mixed'!$A$20,VLOOKUP(A142,'337'!$A$6:$AB$188,11,FALSE),IF($C$1='Adj-Mixed'!$A$19,VLOOKUP(A142,'337'!$A$6:$AB$188,20,FALSE)))))</f>
        <v>117.7940877064474</v>
      </c>
      <c r="C142" s="26">
        <f t="shared" si="24"/>
        <v>985.33337752030548</v>
      </c>
      <c r="D142" s="27">
        <f t="shared" si="25"/>
        <v>0.32995291362159662</v>
      </c>
      <c r="E142" s="27">
        <f>IF(A142&gt;200,"",IF($C$1='Adj-Mixed'!$A$21,VLOOKUP(A142,'337'!$A$7:$AB$188,8,FALSE),IF($C$1='Adj-Mixed'!$A$20,VLOOKUP(A142,'337'!$A$7:$AB$188,17,FALSE),IF($C$1='Adj-Mixed'!$A$19,VLOOKUP(A142,'337'!$A$7:$AB$188,26,FALSE)))))</f>
        <v>3.030735473810183</v>
      </c>
      <c r="F142" s="27">
        <f t="shared" si="21"/>
        <v>2.986284820779991</v>
      </c>
      <c r="G142" s="28">
        <f t="shared" si="27"/>
        <v>251.63022797419234</v>
      </c>
      <c r="H142" s="1"/>
      <c r="I142" s="136">
        <f t="shared" si="26"/>
        <v>129.28324316557712</v>
      </c>
      <c r="J142" s="26">
        <f>IF(A142&gt;200,"",C142*'Adj-Barrows'!$C$6)</f>
        <v>1086.2161521025755</v>
      </c>
      <c r="K142" s="27">
        <f>IF(A142&gt;200,"",D142*'Adj-Barrows'!$C$7)</f>
        <v>0.29293538334238473</v>
      </c>
      <c r="L142" s="1">
        <f t="shared" si="22"/>
        <v>3.4137221273511833</v>
      </c>
      <c r="M142" s="27">
        <f t="shared" si="23"/>
        <v>3.7080401135188206</v>
      </c>
      <c r="N142" s="31">
        <f t="shared" si="28"/>
        <v>312.44674741322405</v>
      </c>
    </row>
    <row r="143" spans="1:14" x14ac:dyDescent="0.25">
      <c r="A143" s="26">
        <f t="shared" si="20"/>
        <v>161</v>
      </c>
      <c r="B143" s="28">
        <f>IF(A143&gt;200,"",IF($C$1='Adj-Mixed'!$A$21,VLOOKUP(A143,'337'!$A$6:$AB$188,2,FALSE),IF($C$1='Adj-Mixed'!$A$20,VLOOKUP(A143,'337'!$A$6:$AB$188,11,FALSE),IF($C$1='Adj-Mixed'!$A$19,VLOOKUP(A143,'337'!$A$6:$AB$188,20,FALSE)))))</f>
        <v>118.77628673338697</v>
      </c>
      <c r="C143" s="26">
        <f t="shared" si="24"/>
        <v>982.1990269395684</v>
      </c>
      <c r="D143" s="27">
        <f t="shared" si="25"/>
        <v>0.32851790995438929</v>
      </c>
      <c r="E143" s="27">
        <f>IF(A143&gt;200,"",IF($C$1='Adj-Mixed'!$A$21,VLOOKUP(A143,'337'!$A$7:$AB$188,8,FALSE),IF($C$1='Adj-Mixed'!$A$20,VLOOKUP(A143,'337'!$A$7:$AB$188,17,FALSE),IF($C$1='Adj-Mixed'!$A$19,VLOOKUP(A143,'337'!$A$7:$AB$188,26,FALSE)))))</f>
        <v>3.0439740717297203</v>
      </c>
      <c r="F143" s="27">
        <f t="shared" si="21"/>
        <v>2.9897883712822071</v>
      </c>
      <c r="G143" s="28">
        <f t="shared" si="27"/>
        <v>254.62001634547454</v>
      </c>
      <c r="H143" s="1"/>
      <c r="I143" s="136">
        <f t="shared" si="26"/>
        <v>130.36600405847014</v>
      </c>
      <c r="J143" s="26">
        <f>IF(A143&gt;200,"",C143*'Adj-Barrows'!$C$6)</f>
        <v>1082.7608928930308</v>
      </c>
      <c r="K143" s="27">
        <f>IF(A143&gt;200,"",D143*'Adj-Barrows'!$C$7)</f>
        <v>0.29166137322761665</v>
      </c>
      <c r="L143" s="1">
        <f t="shared" si="22"/>
        <v>3.4286336546169447</v>
      </c>
      <c r="M143" s="27">
        <f t="shared" si="23"/>
        <v>3.7123904372761385</v>
      </c>
      <c r="N143" s="31">
        <f t="shared" si="28"/>
        <v>316.1591378505002</v>
      </c>
    </row>
    <row r="144" spans="1:14" x14ac:dyDescent="0.25">
      <c r="A144" s="26">
        <f t="shared" si="20"/>
        <v>162</v>
      </c>
      <c r="B144" s="28">
        <f>IF(A144&gt;200,"",IF($C$1='Adj-Mixed'!$A$21,VLOOKUP(A144,'337'!$A$6:$AB$188,2,FALSE),IF($C$1='Adj-Mixed'!$A$20,VLOOKUP(A144,'337'!$A$6:$AB$188,11,FALSE),IF($C$1='Adj-Mixed'!$A$19,VLOOKUP(A144,'337'!$A$6:$AB$188,20,FALSE)))))</f>
        <v>119.7552918843805</v>
      </c>
      <c r="C144" s="26">
        <f t="shared" si="24"/>
        <v>979.00515099352958</v>
      </c>
      <c r="D144" s="27">
        <f t="shared" si="25"/>
        <v>0.32708143267705037</v>
      </c>
      <c r="E144" s="27">
        <f>IF(A144&gt;200,"",IF($C$1='Adj-Mixed'!$A$21,VLOOKUP(A144,'337'!$A$7:$AB$188,8,FALSE),IF($C$1='Adj-Mixed'!$A$20,VLOOKUP(A144,'337'!$A$7:$AB$188,17,FALSE),IF($C$1='Adj-Mixed'!$A$19,VLOOKUP(A144,'337'!$A$7:$AB$188,26,FALSE)))))</f>
        <v>3.0573426067488447</v>
      </c>
      <c r="F144" s="27">
        <f t="shared" si="21"/>
        <v>2.9931541603591039</v>
      </c>
      <c r="G144" s="28">
        <f t="shared" si="27"/>
        <v>257.61317050583364</v>
      </c>
      <c r="H144" s="1"/>
      <c r="I144" s="136">
        <f t="shared" si="26"/>
        <v>131.44524407231904</v>
      </c>
      <c r="J144" s="26">
        <f>IF(A144&gt;200,"",C144*'Adj-Barrows'!$C$6)</f>
        <v>1079.2400138488947</v>
      </c>
      <c r="K144" s="27">
        <f>IF(A144&gt;200,"",D144*'Adj-Barrows'!$C$7)</f>
        <v>0.29038605482754187</v>
      </c>
      <c r="L144" s="1">
        <f t="shared" si="22"/>
        <v>3.4436915388168092</v>
      </c>
      <c r="M144" s="27">
        <f t="shared" si="23"/>
        <v>3.7165697040439745</v>
      </c>
      <c r="N144" s="31">
        <f t="shared" si="28"/>
        <v>319.87570755454419</v>
      </c>
    </row>
    <row r="145" spans="1:14" x14ac:dyDescent="0.25">
      <c r="A145" s="26">
        <f t="shared" si="20"/>
        <v>163</v>
      </c>
      <c r="B145" s="28">
        <f>IF(A145&gt;200,"",IF($C$1='Adj-Mixed'!$A$21,VLOOKUP(A145,'337'!$A$6:$AB$188,2,FALSE),IF($C$1='Adj-Mixed'!$A$20,VLOOKUP(A145,'337'!$A$6:$AB$188,11,FALSE),IF($C$1='Adj-Mixed'!$A$19,VLOOKUP(A145,'337'!$A$6:$AB$188,20,FALSE)))))</f>
        <v>120.73104542161239</v>
      </c>
      <c r="C145" s="26">
        <f t="shared" si="24"/>
        <v>975.75353723189551</v>
      </c>
      <c r="D145" s="27">
        <f t="shared" si="25"/>
        <v>0.32564332595188811</v>
      </c>
      <c r="E145" s="27">
        <f>IF(A145&gt;200,"",IF($C$1='Adj-Mixed'!$A$21,VLOOKUP(A145,'337'!$A$7:$AB$188,8,FALSE),IF($C$1='Adj-Mixed'!$A$20,VLOOKUP(A145,'337'!$A$7:$AB$188,17,FALSE),IF($C$1='Adj-Mixed'!$A$19,VLOOKUP(A145,'337'!$A$7:$AB$188,26,FALSE)))))</f>
        <v>3.0708444494506364</v>
      </c>
      <c r="F145" s="27">
        <f t="shared" si="21"/>
        <v>2.9963873338403912</v>
      </c>
      <c r="G145" s="28">
        <f t="shared" si="27"/>
        <v>260.60955783967404</v>
      </c>
      <c r="H145" s="1"/>
      <c r="I145" s="136">
        <f t="shared" si="26"/>
        <v>132.52089955785613</v>
      </c>
      <c r="J145" s="26">
        <f>IF(A145&gt;200,"",C145*'Adj-Barrows'!$C$6)</f>
        <v>1075.6554855370916</v>
      </c>
      <c r="K145" s="27">
        <f>IF(A145&gt;200,"",D145*'Adj-Barrows'!$C$7)</f>
        <v>0.28910928978795264</v>
      </c>
      <c r="L145" s="1">
        <f t="shared" si="22"/>
        <v>3.4588995764662234</v>
      </c>
      <c r="M145" s="27">
        <f t="shared" si="23"/>
        <v>3.7205843033478163</v>
      </c>
      <c r="N145" s="31">
        <f t="shared" si="28"/>
        <v>323.59629185789203</v>
      </c>
    </row>
    <row r="146" spans="1:14" x14ac:dyDescent="0.25">
      <c r="A146" s="26">
        <f t="shared" si="20"/>
        <v>164</v>
      </c>
      <c r="B146" s="28">
        <f>IF(A146&gt;200,"",IF($C$1='Adj-Mixed'!$A$21,VLOOKUP(A146,'337'!$A$6:$AB$188,2,FALSE),IF($C$1='Adj-Mixed'!$A$20,VLOOKUP(A146,'337'!$A$6:$AB$188,11,FALSE),IF($C$1='Adj-Mixed'!$A$19,VLOOKUP(A146,'337'!$A$6:$AB$188,20,FALSE)))))</f>
        <v>121.70349137391769</v>
      </c>
      <c r="C146" s="26">
        <f t="shared" si="24"/>
        <v>972.44595230529285</v>
      </c>
      <c r="D146" s="27">
        <f t="shared" si="25"/>
        <v>0.32420345476047824</v>
      </c>
      <c r="E146" s="27">
        <f>IF(A146&gt;200,"",IF($C$1='Adj-Mixed'!$A$21,VLOOKUP(A146,'337'!$A$7:$AB$188,8,FALSE),IF($C$1='Adj-Mixed'!$A$20,VLOOKUP(A146,'337'!$A$7:$AB$188,17,FALSE),IF($C$1='Adj-Mixed'!$A$19,VLOOKUP(A146,'337'!$A$7:$AB$188,26,FALSE)))))</f>
        <v>3.0844828619695024</v>
      </c>
      <c r="F146" s="27">
        <f t="shared" si="21"/>
        <v>2.9994928740772879</v>
      </c>
      <c r="G146" s="28">
        <f t="shared" si="27"/>
        <v>263.60905071375134</v>
      </c>
      <c r="H146" s="1"/>
      <c r="I146" s="136">
        <f t="shared" si="26"/>
        <v>133.59290881334186</v>
      </c>
      <c r="J146" s="26">
        <f>IF(A146&gt;200,"",C146*'Adj-Barrows'!$C$6)</f>
        <v>1072.0092554857274</v>
      </c>
      <c r="K146" s="27">
        <f>IF(A146&gt;200,"",D146*'Adj-Barrows'!$C$7)</f>
        <v>0.28783095823818783</v>
      </c>
      <c r="L146" s="1">
        <f t="shared" si="22"/>
        <v>3.4742614419275677</v>
      </c>
      <c r="M146" s="27">
        <f t="shared" si="23"/>
        <v>3.7244404217235418</v>
      </c>
      <c r="N146" s="31">
        <f t="shared" si="28"/>
        <v>327.32073227961558</v>
      </c>
    </row>
    <row r="147" spans="1:14" x14ac:dyDescent="0.25">
      <c r="A147" s="26">
        <f t="shared" si="20"/>
        <v>165</v>
      </c>
      <c r="B147" s="28">
        <f>IF(A147&gt;200,"",IF($C$1='Adj-Mixed'!$A$21,VLOOKUP(A147,'337'!$A$6:$AB$188,2,FALSE),IF($C$1='Adj-Mixed'!$A$20,VLOOKUP(A147,'337'!$A$6:$AB$188,11,FALSE),IF($C$1='Adj-Mixed'!$A$19,VLOOKUP(A147,'337'!$A$6:$AB$188,20,FALSE)))))</f>
        <v>122.67257551551086</v>
      </c>
      <c r="C147" s="26">
        <f t="shared" si="24"/>
        <v>969.08414159317147</v>
      </c>
      <c r="D147" s="27">
        <f t="shared" si="25"/>
        <v>0.32276170393695741</v>
      </c>
      <c r="E147" s="27">
        <f>IF(A147&gt;200,"",IF($C$1='Adj-Mixed'!$A$21,VLOOKUP(A147,'337'!$A$7:$AB$188,8,FALSE),IF($C$1='Adj-Mixed'!$A$20,VLOOKUP(A147,'337'!$A$7:$AB$188,17,FALSE),IF($C$1='Adj-Mixed'!$A$19,VLOOKUP(A147,'337'!$A$7:$AB$188,26,FALSE)))))</f>
        <v>3.0982610012349001</v>
      </c>
      <c r="F147" s="27">
        <f t="shared" si="21"/>
        <v>3.0024756028133233</v>
      </c>
      <c r="G147" s="28">
        <f t="shared" si="27"/>
        <v>266.61152631656466</v>
      </c>
      <c r="H147" s="1"/>
      <c r="I147" s="136">
        <f t="shared" si="26"/>
        <v>134.66121206111575</v>
      </c>
      <c r="J147" s="26">
        <f>IF(A147&gt;200,"",C147*'Adj-Barrows'!$C$6)</f>
        <v>1068.3032477738934</v>
      </c>
      <c r="K147" s="27">
        <f>IF(A147&gt;200,"",D147*'Adj-Barrows'!$C$7)</f>
        <v>0.28655095793288177</v>
      </c>
      <c r="L147" s="1">
        <f t="shared" si="22"/>
        <v>3.4897806910637792</v>
      </c>
      <c r="M147" s="27">
        <f t="shared" si="23"/>
        <v>3.7281440462820572</v>
      </c>
      <c r="N147" s="31">
        <f t="shared" si="28"/>
        <v>331.04887632589765</v>
      </c>
    </row>
    <row r="148" spans="1:14" x14ac:dyDescent="0.25">
      <c r="A148" s="26">
        <f t="shared" si="20"/>
        <v>166</v>
      </c>
      <c r="B148" s="28">
        <f>IF(A148&gt;200,"",IF($C$1='Adj-Mixed'!$A$21,VLOOKUP(A148,'337'!$A$6:$AB$188,2,FALSE),IF($C$1='Adj-Mixed'!$A$20,VLOOKUP(A148,'337'!$A$6:$AB$188,11,FALSE),IF($C$1='Adj-Mixed'!$A$19,VLOOKUP(A148,'337'!$A$6:$AB$188,20,FALSE)))))</f>
        <v>123.63824534437136</v>
      </c>
      <c r="C148" s="26">
        <f t="shared" si="24"/>
        <v>965.66982886049857</v>
      </c>
      <c r="D148" s="27">
        <f t="shared" si="25"/>
        <v>0.32131797722553374</v>
      </c>
      <c r="E148" s="27">
        <f>IF(A148&gt;200,"",IF($C$1='Adj-Mixed'!$A$21,VLOOKUP(A148,'337'!$A$7:$AB$188,8,FALSE),IF($C$1='Adj-Mixed'!$A$20,VLOOKUP(A148,'337'!$A$7:$AB$188,17,FALSE),IF($C$1='Adj-Mixed'!$A$19,VLOOKUP(A148,'337'!$A$7:$AB$188,26,FALSE)))))</f>
        <v>3.1121819222025602</v>
      </c>
      <c r="F148" s="27">
        <f t="shared" si="21"/>
        <v>3.0053401841960836</v>
      </c>
      <c r="G148" s="28">
        <f t="shared" si="27"/>
        <v>269.61686650076075</v>
      </c>
      <c r="H148" s="1"/>
      <c r="I148" s="136">
        <f t="shared" si="26"/>
        <v>135.72575142376897</v>
      </c>
      <c r="J148" s="26">
        <f>IF(A148&gt;200,"",C148*'Adj-Barrows'!$C$6)</f>
        <v>1064.5393626532125</v>
      </c>
      <c r="K148" s="27">
        <f>IF(A148&gt;200,"",D148*'Adj-Barrows'!$C$7)</f>
        <v>0.28526920341521272</v>
      </c>
      <c r="L148" s="1">
        <f t="shared" si="22"/>
        <v>3.5054607648778973</v>
      </c>
      <c r="M148" s="27">
        <f t="shared" si="23"/>
        <v>3.7317009684489593</v>
      </c>
      <c r="N148" s="31">
        <f t="shared" si="28"/>
        <v>334.78057729434659</v>
      </c>
    </row>
    <row r="149" spans="1:14" x14ac:dyDescent="0.25">
      <c r="A149" s="26">
        <f t="shared" si="20"/>
        <v>167</v>
      </c>
      <c r="B149" s="28">
        <f>IF(A149&gt;200,"",IF($C$1='Adj-Mixed'!$A$21,VLOOKUP(A149,'337'!$A$6:$AB$188,2,FALSE),IF($C$1='Adj-Mixed'!$A$20,VLOOKUP(A149,'337'!$A$6:$AB$188,11,FALSE),IF($C$1='Adj-Mixed'!$A$19,VLOOKUP(A149,'337'!$A$6:$AB$188,20,FALSE)))))</f>
        <v>124.600450060314</v>
      </c>
      <c r="C149" s="26">
        <f t="shared" si="24"/>
        <v>962.20471594264723</v>
      </c>
      <c r="D149" s="27">
        <f t="shared" si="25"/>
        <v>0.3198721963623109</v>
      </c>
      <c r="E149" s="27">
        <f>IF(A149&gt;200,"",IF($C$1='Adj-Mixed'!$A$21,VLOOKUP(A149,'337'!$A$7:$AB$188,8,FALSE),IF($C$1='Adj-Mixed'!$A$20,VLOOKUP(A149,'337'!$A$7:$AB$188,17,FALSE),IF($C$1='Adj-Mixed'!$A$19,VLOOKUP(A149,'337'!$A$7:$AB$188,26,FALSE)))))</f>
        <v>3.126248581065564</v>
      </c>
      <c r="F149" s="27">
        <f t="shared" si="21"/>
        <v>3.0080911279102951</v>
      </c>
      <c r="G149" s="28">
        <f t="shared" si="27"/>
        <v>272.62495762867104</v>
      </c>
      <c r="H149" s="1"/>
      <c r="I149" s="136">
        <f t="shared" si="26"/>
        <v>136.78647089996943</v>
      </c>
      <c r="J149" s="26">
        <f>IF(A149&gt;200,"",C149*'Adj-Barrows'!$C$6)</f>
        <v>1060.7194762004654</v>
      </c>
      <c r="K149" s="27">
        <f>IF(A149&gt;200,"",D149*'Adj-Barrows'!$C$7)</f>
        <v>0.28398562520173781</v>
      </c>
      <c r="L149" s="1">
        <f t="shared" si="22"/>
        <v>3.521304993129915</v>
      </c>
      <c r="M149" s="27">
        <f t="shared" si="23"/>
        <v>3.7351167878548464</v>
      </c>
      <c r="N149" s="31">
        <f t="shared" si="28"/>
        <v>338.51569408220143</v>
      </c>
    </row>
    <row r="150" spans="1:14" x14ac:dyDescent="0.25">
      <c r="A150" s="26">
        <f t="shared" si="20"/>
        <v>168</v>
      </c>
      <c r="B150" s="28">
        <f>IF(A150&gt;200,"",IF($C$1='Adj-Mixed'!$A$21,VLOOKUP(A150,'337'!$A$6:$AB$188,2,FALSE),IF($C$1='Adj-Mixed'!$A$20,VLOOKUP(A150,'337'!$A$6:$AB$188,11,FALSE),IF($C$1='Adj-Mixed'!$A$19,VLOOKUP(A150,'337'!$A$6:$AB$188,20,FALSE)))))</f>
        <v>125.55914054277078</v>
      </c>
      <c r="C150" s="26">
        <f t="shared" si="24"/>
        <v>958.69048245677391</v>
      </c>
      <c r="D150" s="27">
        <f t="shared" si="25"/>
        <v>0.31842430018113477</v>
      </c>
      <c r="E150" s="27">
        <f>IF(A150&gt;200,"",IF($C$1='Adj-Mixed'!$A$21,VLOOKUP(A150,'337'!$A$7:$AB$188,8,FALSE),IF($C$1='Adj-Mixed'!$A$20,VLOOKUP(A150,'337'!$A$7:$AB$188,17,FALSE),IF($C$1='Adj-Mixed'!$A$19,VLOOKUP(A150,'337'!$A$7:$AB$188,26,FALSE)))))</f>
        <v>3.1404638384418302</v>
      </c>
      <c r="F150" s="27">
        <f t="shared" si="21"/>
        <v>3.0107327924138505</v>
      </c>
      <c r="G150" s="28">
        <f t="shared" si="27"/>
        <v>275.63569042108492</v>
      </c>
      <c r="H150" s="1"/>
      <c r="I150" s="136">
        <f t="shared" si="26"/>
        <v>137.84331633996885</v>
      </c>
      <c r="J150" s="26">
        <f>IF(A150&gt;200,"",C150*'Adj-Barrows'!$C$6)</f>
        <v>1056.8454399994166</v>
      </c>
      <c r="K150" s="27">
        <f>IF(A150&gt;200,"",D150*'Adj-Barrows'!$C$7)</f>
        <v>0.28270016898855449</v>
      </c>
      <c r="L150" s="1">
        <f t="shared" si="22"/>
        <v>3.5373165979270653</v>
      </c>
      <c r="M150" s="27">
        <f t="shared" si="23"/>
        <v>3.7383969163534689</v>
      </c>
      <c r="N150" s="31">
        <f t="shared" si="28"/>
        <v>342.25409099855489</v>
      </c>
    </row>
    <row r="151" spans="1:14" x14ac:dyDescent="0.25">
      <c r="A151" s="26">
        <f t="shared" si="20"/>
        <v>169</v>
      </c>
      <c r="B151" s="28">
        <f>IF(A151&gt;200,"",IF($C$1='Adj-Mixed'!$A$21,VLOOKUP(A151,'337'!$A$6:$AB$188,2,FALSE),IF($C$1='Adj-Mixed'!$A$20,VLOOKUP(A151,'337'!$A$6:$AB$188,11,FALSE),IF($C$1='Adj-Mixed'!$A$19,VLOOKUP(A151,'337'!$A$6:$AB$188,20,FALSE)))))</f>
        <v>126.51426932831103</v>
      </c>
      <c r="C151" s="26">
        <f t="shared" si="24"/>
        <v>955.12878554025349</v>
      </c>
      <c r="D151" s="27">
        <f t="shared" si="25"/>
        <v>0.31697424374390393</v>
      </c>
      <c r="E151" s="27">
        <f>IF(A151&gt;200,"",IF($C$1='Adj-Mixed'!$A$21,VLOOKUP(A151,'337'!$A$7:$AB$188,8,FALSE),IF($C$1='Adj-Mixed'!$A$20,VLOOKUP(A151,'337'!$A$7:$AB$188,17,FALSE),IF($C$1='Adj-Mixed'!$A$19,VLOOKUP(A151,'337'!$A$7:$AB$188,26,FALSE)))))</f>
        <v>3.1548304625278631</v>
      </c>
      <c r="F151" s="27">
        <f t="shared" si="21"/>
        <v>3.013269388259634</v>
      </c>
      <c r="G151" s="28">
        <f t="shared" si="27"/>
        <v>278.64895980934455</v>
      </c>
      <c r="H151" s="1"/>
      <c r="I151" s="136">
        <f t="shared" si="26"/>
        <v>138.89623542082131</v>
      </c>
      <c r="J151" s="26">
        <f>IF(A151&gt;200,"",C151*'Adj-Barrows'!$C$6)</f>
        <v>1052.9190808524702</v>
      </c>
      <c r="K151" s="27">
        <f>IF(A151&gt;200,"",D151*'Adj-Barrows'!$C$7)</f>
        <v>0.28141279487918247</v>
      </c>
      <c r="L151" s="1">
        <f t="shared" si="22"/>
        <v>3.5534986972760954</v>
      </c>
      <c r="M151" s="27">
        <f t="shared" si="23"/>
        <v>3.7415465821463969</v>
      </c>
      <c r="N151" s="31">
        <f t="shared" si="28"/>
        <v>345.99563758070127</v>
      </c>
    </row>
    <row r="152" spans="1:14" x14ac:dyDescent="0.25">
      <c r="A152" s="26">
        <f t="shared" si="20"/>
        <v>170</v>
      </c>
      <c r="B152" s="28">
        <f>IF(A152&gt;200,"",IF($C$1='Adj-Mixed'!$A$21,VLOOKUP(A152,'337'!$A$6:$AB$188,2,FALSE),IF($C$1='Adj-Mixed'!$A$20,VLOOKUP(A152,'337'!$A$6:$AB$188,11,FALSE),IF($C$1='Adj-Mixed'!$A$19,VLOOKUP(A152,'337'!$A$6:$AB$188,20,FALSE)))))</f>
        <v>127.46579058792531</v>
      </c>
      <c r="C152" s="26">
        <f t="shared" si="24"/>
        <v>951.52125961428169</v>
      </c>
      <c r="D152" s="27">
        <f t="shared" si="25"/>
        <v>0.31552199749494525</v>
      </c>
      <c r="E152" s="27">
        <f>IF(A152&gt;200,"",IF($C$1='Adj-Mixed'!$A$21,VLOOKUP(A152,'337'!$A$7:$AB$188,8,FALSE),IF($C$1='Adj-Mixed'!$A$20,VLOOKUP(A152,'337'!$A$7:$AB$188,17,FALSE),IF($C$1='Adj-Mixed'!$A$19,VLOOKUP(A152,'337'!$A$7:$AB$188,26,FALSE)))))</f>
        <v>3.169351132217082</v>
      </c>
      <c r="F152" s="27">
        <f t="shared" si="21"/>
        <v>3.0157049814871475</v>
      </c>
      <c r="G152" s="28">
        <f t="shared" si="27"/>
        <v>281.66466479083169</v>
      </c>
      <c r="H152" s="1"/>
      <c r="I152" s="136">
        <f t="shared" si="26"/>
        <v>139.94517762134137</v>
      </c>
      <c r="J152" s="26">
        <f>IF(A152&gt;200,"",C152*'Adj-Barrows'!$C$6)</f>
        <v>1048.9422005200686</v>
      </c>
      <c r="K152" s="27">
        <f>IF(A152&gt;200,"",D152*'Adj-Barrows'!$C$7)</f>
        <v>0.28012347663380965</v>
      </c>
      <c r="L152" s="1">
        <f t="shared" si="22"/>
        <v>3.569854308595656</v>
      </c>
      <c r="M152" s="27">
        <f t="shared" si="23"/>
        <v>3.7445708339943757</v>
      </c>
      <c r="N152" s="31">
        <f t="shared" si="28"/>
        <v>349.74020841469564</v>
      </c>
    </row>
    <row r="153" spans="1:14" x14ac:dyDescent="0.25">
      <c r="A153" s="26">
        <f t="shared" si="20"/>
        <v>171</v>
      </c>
      <c r="B153" s="28">
        <f>IF(A153&gt;200,"",IF($C$1='Adj-Mixed'!$A$21,VLOOKUP(A153,'337'!$A$6:$AB$188,2,FALSE),IF($C$1='Adj-Mixed'!$A$20,VLOOKUP(A153,'337'!$A$6:$AB$188,11,FALSE),IF($C$1='Adj-Mixed'!$A$19,VLOOKUP(A153,'337'!$A$6:$AB$188,20,FALSE)))))</f>
        <v>128.41366010409772</v>
      </c>
      <c r="C153" s="26">
        <f t="shared" si="24"/>
        <v>947.86951617240334</v>
      </c>
      <c r="D153" s="27">
        <f t="shared" si="25"/>
        <v>0.31406754643957729</v>
      </c>
      <c r="E153" s="27">
        <f>IF(A153&gt;200,"",IF($C$1='Adj-Mixed'!$A$21,VLOOKUP(A153,'337'!$A$7:$AB$188,8,FALSE),IF($C$1='Adj-Mixed'!$A$20,VLOOKUP(A153,'337'!$A$7:$AB$188,17,FALSE),IF($C$1='Adj-Mixed'!$A$19,VLOOKUP(A153,'337'!$A$7:$AB$188,26,FALSE)))))</f>
        <v>3.1840284401762839</v>
      </c>
      <c r="F153" s="27">
        <f t="shared" si="21"/>
        <v>3.0180434970690664</v>
      </c>
      <c r="G153" s="28">
        <f t="shared" si="27"/>
        <v>284.68270828790077</v>
      </c>
      <c r="H153" s="1"/>
      <c r="I153" s="136">
        <f t="shared" si="26"/>
        <v>140.99009419682895</v>
      </c>
      <c r="J153" s="26">
        <f>IF(A153&gt;200,"",C153*'Adj-Barrows'!$C$6)</f>
        <v>1044.9165754875692</v>
      </c>
      <c r="K153" s="27">
        <f>IF(A153&gt;200,"",D153*'Adj-Barrows'!$C$7)</f>
        <v>0.27883220094001304</v>
      </c>
      <c r="L153" s="1">
        <f t="shared" si="22"/>
        <v>3.5863863521815271</v>
      </c>
      <c r="M153" s="27">
        <f t="shared" si="23"/>
        <v>3.7474745454968765</v>
      </c>
      <c r="N153" s="31">
        <f t="shared" si="28"/>
        <v>353.4876829601925</v>
      </c>
    </row>
    <row r="154" spans="1:14" x14ac:dyDescent="0.25">
      <c r="A154" s="26">
        <f t="shared" si="20"/>
        <v>172</v>
      </c>
      <c r="B154" s="28">
        <f>IF(A154&gt;200,"",IF($C$1='Adj-Mixed'!$A$21,VLOOKUP(A154,'337'!$A$6:$AB$188,2,FALSE),IF($C$1='Adj-Mixed'!$A$20,VLOOKUP(A154,'337'!$A$6:$AB$188,11,FALSE),IF($C$1='Adj-Mixed'!$A$19,VLOOKUP(A154,'337'!$A$6:$AB$188,20,FALSE)))))</f>
        <v>129.35783524769136</v>
      </c>
      <c r="C154" s="26">
        <f t="shared" si="24"/>
        <v>944.17514359363963</v>
      </c>
      <c r="D154" s="27">
        <f t="shared" si="25"/>
        <v>0.31261088934692782</v>
      </c>
      <c r="E154" s="27">
        <f>IF(A154&gt;200,"",IF($C$1='Adj-Mixed'!$A$21,VLOOKUP(A154,'337'!$A$7:$AB$188,8,FALSE),IF($C$1='Adj-Mixed'!$A$20,VLOOKUP(A154,'337'!$A$7:$AB$188,17,FALSE),IF($C$1='Adj-Mixed'!$A$19,VLOOKUP(A154,'337'!$A$7:$AB$188,26,FALSE)))))</f>
        <v>3.1988648958745154</v>
      </c>
      <c r="F154" s="27">
        <f t="shared" si="21"/>
        <v>3.0202887223989738</v>
      </c>
      <c r="G154" s="28">
        <f t="shared" si="27"/>
        <v>287.70299701029973</v>
      </c>
      <c r="H154" s="1"/>
      <c r="I154" s="136">
        <f t="shared" si="26"/>
        <v>142.03093815358818</v>
      </c>
      <c r="J154" s="26">
        <f>IF(A154&gt;200,"",C154*'Adj-Barrows'!$C$6)</f>
        <v>1040.8439567592391</v>
      </c>
      <c r="K154" s="27">
        <f>IF(A154&gt;200,"",D154*'Adj-Barrows'!$C$7)</f>
        <v>0.27753896670501232</v>
      </c>
      <c r="L154" s="1">
        <f t="shared" si="22"/>
        <v>3.6030976546182409</v>
      </c>
      <c r="M154" s="27">
        <f t="shared" si="23"/>
        <v>3.7502624194227843</v>
      </c>
      <c r="N154" s="31">
        <f t="shared" si="28"/>
        <v>357.23794537961527</v>
      </c>
    </row>
    <row r="155" spans="1:14" x14ac:dyDescent="0.25">
      <c r="A155" s="26">
        <f t="shared" si="20"/>
        <v>173</v>
      </c>
      <c r="B155" s="28">
        <f>IF(A155&gt;200,"",IF($C$1='Adj-Mixed'!$A$21,VLOOKUP(A155,'337'!$A$6:$AB$188,2,FALSE),IF($C$1='Adj-Mixed'!$A$20,VLOOKUP(A155,'337'!$A$6:$AB$188,11,FALSE),IF($C$1='Adj-Mixed'!$A$19,VLOOKUP(A155,'337'!$A$6:$AB$188,20,FALSE)))))</f>
        <v>130.2982749546693</v>
      </c>
      <c r="C155" s="26">
        <f t="shared" si="24"/>
        <v>940.43970697794066</v>
      </c>
      <c r="D155" s="27">
        <f t="shared" si="25"/>
        <v>0.31115203797639984</v>
      </c>
      <c r="E155" s="27">
        <f>IF(A155&gt;200,"",IF($C$1='Adj-Mixed'!$A$21,VLOOKUP(A155,'337'!$A$7:$AB$188,8,FALSE),IF($C$1='Adj-Mixed'!$A$20,VLOOKUP(A155,'337'!$A$7:$AB$188,17,FALSE),IF($C$1='Adj-Mixed'!$A$19,VLOOKUP(A155,'337'!$A$7:$AB$188,26,FALSE)))))</f>
        <v>3.213862928565641</v>
      </c>
      <c r="F155" s="27">
        <f t="shared" si="21"/>
        <v>3.0224443108075376</v>
      </c>
      <c r="G155" s="28">
        <f t="shared" si="27"/>
        <v>290.72544132110727</v>
      </c>
      <c r="H155" s="1"/>
      <c r="I155" s="136">
        <f t="shared" si="26"/>
        <v>143.06766422326504</v>
      </c>
      <c r="J155" s="26">
        <f>IF(A155&gt;200,"",C155*'Adj-Barrows'!$C$6)</f>
        <v>1036.7260696768603</v>
      </c>
      <c r="K155" s="27">
        <f>IF(A155&gt;200,"",D155*'Adj-Barrows'!$C$7)</f>
        <v>0.27624378436891911</v>
      </c>
      <c r="L155" s="1">
        <f t="shared" si="22"/>
        <v>3.6199909521385507</v>
      </c>
      <c r="M155" s="27">
        <f t="shared" si="23"/>
        <v>3.7529389920763951</v>
      </c>
      <c r="N155" s="31">
        <f t="shared" si="28"/>
        <v>360.99088437169166</v>
      </c>
    </row>
    <row r="156" spans="1:14" x14ac:dyDescent="0.25">
      <c r="A156" s="26">
        <f t="shared" si="20"/>
        <v>174</v>
      </c>
      <c r="B156" s="28">
        <f>IF(A156&gt;200,"",IF($C$1='Adj-Mixed'!$A$21,VLOOKUP(A156,'337'!$A$6:$AB$188,2,FALSE),IF($C$1='Adj-Mixed'!$A$20,VLOOKUP(A156,'337'!$A$6:$AB$188,11,FALSE),IF($C$1='Adj-Mixed'!$A$19,VLOOKUP(A156,'337'!$A$6:$AB$188,20,FALSE)))))</f>
        <v>131.23493970267475</v>
      </c>
      <c r="C156" s="26">
        <f t="shared" si="24"/>
        <v>936.66474800545529</v>
      </c>
      <c r="D156" s="27">
        <f t="shared" si="25"/>
        <v>0.30969101632840013</v>
      </c>
      <c r="E156" s="27">
        <f>IF(A156&gt;200,"",IF($C$1='Adj-Mixed'!$A$21,VLOOKUP(A156,'337'!$A$7:$AB$188,8,FALSE),IF($C$1='Adj-Mixed'!$A$20,VLOOKUP(A156,'337'!$A$7:$AB$188,17,FALSE),IF($C$1='Adj-Mixed'!$A$19,VLOOKUP(A156,'337'!$A$7:$AB$188,26,FALSE)))))</f>
        <v>3.2290248902137599</v>
      </c>
      <c r="F156" s="27">
        <f t="shared" si="21"/>
        <v>3.0245137850954142</v>
      </c>
      <c r="G156" s="28">
        <f t="shared" si="27"/>
        <v>293.74995510620266</v>
      </c>
      <c r="H156" s="1"/>
      <c r="I156" s="136">
        <f t="shared" si="26"/>
        <v>144.10022883702962</v>
      </c>
      <c r="J156" s="26">
        <f>IF(A156&gt;200,"",C156*'Adj-Barrows'!$C$6)</f>
        <v>1032.5646137645911</v>
      </c>
      <c r="K156" s="27">
        <f>IF(A156&gt;200,"",D156*'Adj-Barrows'!$C$7)</f>
        <v>0.27494667523952637</v>
      </c>
      <c r="L156" s="1">
        <f t="shared" si="22"/>
        <v>3.6370688939185247</v>
      </c>
      <c r="M156" s="27">
        <f t="shared" si="23"/>
        <v>3.7555086376841893</v>
      </c>
      <c r="N156" s="31">
        <f t="shared" si="28"/>
        <v>364.74639300937588</v>
      </c>
    </row>
    <row r="157" spans="1:14" x14ac:dyDescent="0.25">
      <c r="A157" s="26">
        <f t="shared" si="20"/>
        <v>175</v>
      </c>
      <c r="B157" s="28">
        <f>IF(A157&gt;200,"",IF($C$1='Adj-Mixed'!$A$21,VLOOKUP(A157,'337'!$A$6:$AB$188,2,FALSE),IF($C$1='Adj-Mixed'!$A$20,VLOOKUP(A157,'337'!$A$6:$AB$188,11,FALSE),IF($C$1='Adj-Mixed'!$A$19,VLOOKUP(A157,'337'!$A$6:$AB$188,20,FALSE)))))</f>
        <v>132.16779148749171</v>
      </c>
      <c r="C157" s="26">
        <f t="shared" si="24"/>
        <v>932.85178481696107</v>
      </c>
      <c r="D157" s="27">
        <f t="shared" si="25"/>
        <v>0.3082278599185404</v>
      </c>
      <c r="E157" s="27">
        <f>IF(A157&gt;200,"",IF($C$1='Adj-Mixed'!$A$21,VLOOKUP(A157,'337'!$A$7:$AB$188,8,FALSE),IF($C$1='Adj-Mixed'!$A$20,VLOOKUP(A157,'337'!$A$7:$AB$188,17,FALSE),IF($C$1='Adj-Mixed'!$A$19,VLOOKUP(A157,'337'!$A$7:$AB$188,26,FALSE)))))</f>
        <v>3.24435305836495</v>
      </c>
      <c r="F157" s="27">
        <f t="shared" si="21"/>
        <v>3.0265005410721102</v>
      </c>
      <c r="G157" s="28">
        <f t="shared" si="27"/>
        <v>296.77645564727476</v>
      </c>
      <c r="H157" s="1"/>
      <c r="I157" s="136">
        <f t="shared" si="26"/>
        <v>145.12859009962676</v>
      </c>
      <c r="J157" s="26">
        <f>IF(A157&gt;200,"",C157*'Adj-Barrows'!$C$6)</f>
        <v>1028.3612625971537</v>
      </c>
      <c r="K157" s="27">
        <f>IF(A157&gt;200,"",D157*'Adj-Barrows'!$C$7)</f>
        <v>0.27364767084793706</v>
      </c>
      <c r="L157" s="1">
        <f t="shared" si="22"/>
        <v>3.6543340453121882</v>
      </c>
      <c r="M157" s="27">
        <f t="shared" si="23"/>
        <v>3.7579755727890061</v>
      </c>
      <c r="N157" s="31">
        <f t="shared" si="28"/>
        <v>368.50436858216489</v>
      </c>
    </row>
    <row r="158" spans="1:14" x14ac:dyDescent="0.25">
      <c r="A158" s="26">
        <f t="shared" si="20"/>
        <v>176</v>
      </c>
      <c r="B158" s="28">
        <f>IF(A158&gt;200,"",IF($C$1='Adj-Mixed'!$A$21,VLOOKUP(A158,'337'!$A$6:$AB$188,2,FALSE),IF($C$1='Adj-Mixed'!$A$20,VLOOKUP(A158,'337'!$A$6:$AB$188,11,FALSE),IF($C$1='Adj-Mixed'!$A$19,VLOOKUP(A158,'337'!$A$6:$AB$188,20,FALSE)))))</f>
        <v>133.09679379940701</v>
      </c>
      <c r="C158" s="26">
        <f t="shared" si="24"/>
        <v>929.0023119152977</v>
      </c>
      <c r="D158" s="27">
        <f t="shared" si="25"/>
        <v>0.3067626150753216</v>
      </c>
      <c r="E158" s="27">
        <f>IF(A158&gt;200,"",IF($C$1='Adj-Mixed'!$A$21,VLOOKUP(A158,'337'!$A$7:$AB$188,8,FALSE),IF($C$1='Adj-Mixed'!$A$20,VLOOKUP(A158,'337'!$A$7:$AB$188,17,FALSE),IF($C$1='Adj-Mixed'!$A$19,VLOOKUP(A158,'337'!$A$7:$AB$188,26,FALSE)))))</f>
        <v>3.259849638960937</v>
      </c>
      <c r="F158" s="27">
        <f t="shared" si="21"/>
        <v>3.0284078510909591</v>
      </c>
      <c r="G158" s="28">
        <f t="shared" si="27"/>
        <v>299.80486349836571</v>
      </c>
      <c r="H158" s="1"/>
      <c r="I158" s="136">
        <f t="shared" si="26"/>
        <v>146.15270776331795</v>
      </c>
      <c r="J158" s="26">
        <f>IF(A158&gt;200,"",C158*'Adj-Barrows'!$C$6)</f>
        <v>1024.1176636911764</v>
      </c>
      <c r="K158" s="27">
        <f>IF(A158&gt;200,"",D158*'Adj-Barrows'!$C$7)</f>
        <v>0.27234681232504193</v>
      </c>
      <c r="L158" s="1">
        <f t="shared" si="22"/>
        <v>3.6717888910207424</v>
      </c>
      <c r="M158" s="27">
        <f t="shared" si="23"/>
        <v>3.7603438606393782</v>
      </c>
      <c r="N158" s="31">
        <f t="shared" si="28"/>
        <v>372.26471244280424</v>
      </c>
    </row>
    <row r="159" spans="1:14" x14ac:dyDescent="0.25">
      <c r="A159" s="26">
        <f t="shared" si="20"/>
        <v>177</v>
      </c>
      <c r="B159" s="28">
        <f>IF(A159&gt;200,"",IF($C$1='Adj-Mixed'!$A$21,VLOOKUP(A159,'337'!$A$6:$AB$188,2,FALSE),IF($C$1='Adj-Mixed'!$A$20,VLOOKUP(A159,'337'!$A$6:$AB$188,11,FALSE),IF($C$1='Adj-Mixed'!$A$19,VLOOKUP(A159,'337'!$A$6:$AB$188,20,FALSE)))))</f>
        <v>134.02191159949476</v>
      </c>
      <c r="C159" s="26">
        <f t="shared" si="24"/>
        <v>925.11780008774736</v>
      </c>
      <c r="D159" s="27">
        <f t="shared" si="25"/>
        <v>0.30529533826131655</v>
      </c>
      <c r="E159" s="27">
        <f>IF(A159&gt;200,"",IF($C$1='Adj-Mixed'!$A$21,VLOOKUP(A159,'337'!$A$7:$AB$188,8,FALSE),IF($C$1='Adj-Mixed'!$A$20,VLOOKUP(A159,'337'!$A$7:$AB$188,17,FALSE),IF($C$1='Adj-Mixed'!$A$19,VLOOKUP(A159,'337'!$A$7:$AB$188,26,FALSE)))))</f>
        <v>3.2755167690901761</v>
      </c>
      <c r="F159" s="27">
        <f t="shared" si="21"/>
        <v>3.0302388675712297</v>
      </c>
      <c r="G159" s="28">
        <f t="shared" si="27"/>
        <v>302.83510236593696</v>
      </c>
      <c r="H159" s="1"/>
      <c r="I159" s="136">
        <f t="shared" si="26"/>
        <v>147.17254320173757</v>
      </c>
      <c r="J159" s="26">
        <f>IF(A159&gt;200,"",C159*'Adj-Barrows'!$C$6)</f>
        <v>1019.8354384196269</v>
      </c>
      <c r="K159" s="27">
        <f>IF(A159&gt;200,"",D159*'Adj-Barrows'!$C$7)</f>
        <v>0.27104414979885827</v>
      </c>
      <c r="L159" s="1">
        <f t="shared" si="22"/>
        <v>3.6894358381913039</v>
      </c>
      <c r="M159" s="27">
        <f t="shared" si="23"/>
        <v>3.7626174155629122</v>
      </c>
      <c r="N159" s="31">
        <f t="shared" si="28"/>
        <v>376.02732985836712</v>
      </c>
    </row>
    <row r="160" spans="1:14" x14ac:dyDescent="0.25">
      <c r="A160" s="26">
        <f t="shared" si="20"/>
        <v>178</v>
      </c>
      <c r="B160" s="28">
        <f>IF(A160&gt;200,"",IF($C$1='Adj-Mixed'!$A$21,VLOOKUP(A160,'337'!$A$6:$AB$188,2,FALSE),IF($C$1='Adj-Mixed'!$A$20,VLOOKUP(A160,'337'!$A$6:$AB$188,11,FALSE),IF($C$1='Adj-Mixed'!$A$19,VLOOKUP(A160,'337'!$A$6:$AB$188,20,FALSE)))))</f>
        <v>134.9431112958425</v>
      </c>
      <c r="C160" s="26">
        <f t="shared" si="24"/>
        <v>921.19969634774179</v>
      </c>
      <c r="D160" s="27">
        <f t="shared" si="25"/>
        <v>0.30382609541732153</v>
      </c>
      <c r="E160" s="27">
        <f>IF(A160&gt;200,"",IF($C$1='Adj-Mixed'!$A$21,VLOOKUP(A160,'337'!$A$7:$AB$188,8,FALSE),IF($C$1='Adj-Mixed'!$A$20,VLOOKUP(A160,'337'!$A$7:$AB$188,17,FALSE),IF($C$1='Adj-Mixed'!$A$19,VLOOKUP(A160,'337'!$A$7:$AB$188,26,FALSE)))))</f>
        <v>3.2913565196776338</v>
      </c>
      <c r="F160" s="27">
        <f t="shared" si="21"/>
        <v>3.0319966264991964</v>
      </c>
      <c r="G160" s="28">
        <f t="shared" si="27"/>
        <v>305.86709899243618</v>
      </c>
      <c r="H160" s="1"/>
      <c r="I160" s="136">
        <f t="shared" si="26"/>
        <v>148.18805938368513</v>
      </c>
      <c r="J160" s="26">
        <f>IF(A160&gt;200,"",C160*'Adj-Barrows'!$C$6)</f>
        <v>1015.5161819475505</v>
      </c>
      <c r="K160" s="27">
        <f>IF(A160&gt;200,"",D160*'Adj-Barrows'!$C$7)</f>
        <v>0.26973974181226196</v>
      </c>
      <c r="L160" s="1">
        <f t="shared" si="22"/>
        <v>3.7072772194465768</v>
      </c>
      <c r="M160" s="27">
        <f t="shared" si="23"/>
        <v>3.7648000073135188</v>
      </c>
      <c r="N160" s="31">
        <f t="shared" si="28"/>
        <v>379.79212986568064</v>
      </c>
    </row>
    <row r="161" spans="1:14" x14ac:dyDescent="0.25">
      <c r="A161" s="26">
        <f t="shared" si="20"/>
        <v>179</v>
      </c>
      <c r="B161" s="28">
        <f>IF(A161&gt;200,"",IF($C$1='Adj-Mixed'!$A$21,VLOOKUP(A161,'337'!$A$6:$AB$188,2,FALSE),IF($C$1='Adj-Mixed'!$A$20,VLOOKUP(A161,'337'!$A$6:$AB$188,11,FALSE),IF($C$1='Adj-Mixed'!$A$19,VLOOKUP(A161,'337'!$A$6:$AB$188,20,FALSE)))))</f>
        <v>135.86036071973797</v>
      </c>
      <c r="C161" s="26">
        <f t="shared" si="24"/>
        <v>917.24942389546982</v>
      </c>
      <c r="D161" s="27">
        <f t="shared" si="25"/>
        <v>0.302354961329314</v>
      </c>
      <c r="E161" s="27">
        <f>IF(A161&gt;200,"",IF($C$1='Adj-Mixed'!$A$21,VLOOKUP(A161,'337'!$A$7:$AB$188,8,FALSE),IF($C$1='Adj-Mixed'!$A$20,VLOOKUP(A161,'337'!$A$7:$AB$188,17,FALSE),IF($C$1='Adj-Mixed'!$A$19,VLOOKUP(A161,'337'!$A$7:$AB$188,26,FALSE)))))</f>
        <v>3.3073708981108347</v>
      </c>
      <c r="F161" s="27">
        <f t="shared" si="21"/>
        <v>3.0336840509008058</v>
      </c>
      <c r="G161" s="28">
        <f t="shared" si="27"/>
        <v>308.90078304333701</v>
      </c>
      <c r="H161" s="1"/>
      <c r="I161" s="136">
        <f t="shared" si="26"/>
        <v>149.19922084687377</v>
      </c>
      <c r="J161" s="26">
        <f>IF(A161&gt;200,"",C161*'Adj-Barrows'!$C$6)</f>
        <v>1011.1614631886447</v>
      </c>
      <c r="K161" s="27">
        <f>IF(A161&gt;200,"",D161*'Adj-Barrows'!$C$7)</f>
        <v>0.26843365476096598</v>
      </c>
      <c r="L161" s="1">
        <f t="shared" si="22"/>
        <v>3.7253152958427553</v>
      </c>
      <c r="M161" s="27">
        <f t="shared" si="23"/>
        <v>3.7668952653833996</v>
      </c>
      <c r="N161" s="31">
        <f t="shared" si="28"/>
        <v>383.55902513106406</v>
      </c>
    </row>
    <row r="162" spans="1:14" x14ac:dyDescent="0.25">
      <c r="A162" s="26">
        <f t="shared" si="20"/>
        <v>180</v>
      </c>
      <c r="B162" s="28">
        <f>IF(A162&gt;200,"",IF($C$1='Adj-Mixed'!$A$21,VLOOKUP(A162,'337'!$A$6:$AB$188,2,FALSE),IF($C$1='Adj-Mixed'!$A$20,VLOOKUP(A162,'337'!$A$6:$AB$188,11,FALSE),IF($C$1='Adj-Mixed'!$A$19,VLOOKUP(A162,'337'!$A$6:$AB$188,20,FALSE)))))</f>
        <v>136.77362910183504</v>
      </c>
      <c r="C162" s="26">
        <f t="shared" si="24"/>
        <v>913.26838209707262</v>
      </c>
      <c r="D162" s="27">
        <f t="shared" si="25"/>
        <v>0.30088201901806672</v>
      </c>
      <c r="E162" s="27">
        <f>IF(A162&gt;200,"",IF($C$1='Adj-Mixed'!$A$21,VLOOKUP(A162,'337'!$A$7:$AB$188,8,FALSE),IF($C$1='Adj-Mixed'!$A$20,VLOOKUP(A162,'337'!$A$7:$AB$188,17,FALSE),IF($C$1='Adj-Mixed'!$A$19,VLOOKUP(A162,'337'!$A$7:$AB$188,26,FALSE)))))</f>
        <v>3.323561850799579</v>
      </c>
      <c r="F162" s="27">
        <f t="shared" si="21"/>
        <v>3.0353039542792839</v>
      </c>
      <c r="G162" s="28">
        <f t="shared" si="27"/>
        <v>311.93608699761631</v>
      </c>
      <c r="H162" s="1"/>
      <c r="I162" s="136">
        <f t="shared" si="26"/>
        <v>150.2059936716561</v>
      </c>
      <c r="J162" s="26">
        <f>IF(A162&gt;200,"",C162*'Adj-Barrows'!$C$6)</f>
        <v>1006.7728247823248</v>
      </c>
      <c r="K162" s="27">
        <f>IF(A162&gt;200,"",D162*'Adj-Barrows'!$C$7)</f>
        <v>0.26712596235161429</v>
      </c>
      <c r="L162" s="1">
        <f t="shared" si="22"/>
        <v>3.7435522597526987</v>
      </c>
      <c r="M162" s="27">
        <f t="shared" si="23"/>
        <v>3.7689066832714802</v>
      </c>
      <c r="N162" s="31">
        <f t="shared" si="28"/>
        <v>387.32793181433556</v>
      </c>
    </row>
    <row r="163" spans="1:14" x14ac:dyDescent="0.25">
      <c r="A163" s="26">
        <f t="shared" si="20"/>
        <v>181</v>
      </c>
      <c r="B163" s="28">
        <f>IF(A163&gt;200,"",IF($C$1='Adj-Mixed'!$A$21,VLOOKUP(A163,'337'!$A$6:$AB$188,2,FALSE),IF($C$1='Adj-Mixed'!$A$20,VLOOKUP(A163,'337'!$A$6:$AB$188,11,FALSE),IF($C$1='Adj-Mixed'!$A$19,VLOOKUP(A163,'337'!$A$6:$AB$188,20,FALSE)))))</f>
        <v>137.68288704831582</v>
      </c>
      <c r="C163" s="26">
        <f t="shared" si="24"/>
        <v>909.2579464807784</v>
      </c>
      <c r="D163" s="27">
        <f t="shared" si="25"/>
        <v>0.29940735915080074</v>
      </c>
      <c r="E163" s="27">
        <f>IF(A163&gt;200,"",IF($C$1='Adj-Mixed'!$A$21,VLOOKUP(A163,'337'!$A$7:$AB$188,8,FALSE),IF($C$1='Adj-Mixed'!$A$20,VLOOKUP(A163,'337'!$A$7:$AB$188,17,FALSE),IF($C$1='Adj-Mixed'!$A$19,VLOOKUP(A163,'337'!$A$7:$AB$188,26,FALSE)))))</f>
        <v>3.3399312656718498</v>
      </c>
      <c r="F163" s="27">
        <f t="shared" si="21"/>
        <v>3.0368590440117331</v>
      </c>
      <c r="G163" s="28">
        <f t="shared" si="27"/>
        <v>314.97294604162806</v>
      </c>
      <c r="H163" s="1"/>
      <c r="I163" s="136">
        <f t="shared" si="26"/>
        <v>151.20834545474557</v>
      </c>
      <c r="J163" s="26">
        <f>IF(A163&gt;200,"",C163*'Adj-Barrows'!$C$6)</f>
        <v>1002.3517830894624</v>
      </c>
      <c r="K163" s="27">
        <f>IF(A163&gt;200,"",D163*'Adj-Barrows'!$C$7)</f>
        <v>0.26581674507944131</v>
      </c>
      <c r="L163" s="1">
        <f t="shared" si="22"/>
        <v>3.7619902376772485</v>
      </c>
      <c r="M163" s="27">
        <f t="shared" si="23"/>
        <v>3.7708376227009404</v>
      </c>
      <c r="N163" s="31">
        <f t="shared" si="28"/>
        <v>391.09876943703648</v>
      </c>
    </row>
    <row r="164" spans="1:14" x14ac:dyDescent="0.25">
      <c r="A164" s="26">
        <f t="shared" si="20"/>
        <v>182</v>
      </c>
      <c r="B164" s="28">
        <f>IF(A164&gt;200,"",IF($C$1='Adj-Mixed'!$A$21,VLOOKUP(A164,'337'!$A$6:$AB$188,2,FALSE),IF($C$1='Adj-Mixed'!$A$20,VLOOKUP(A164,'337'!$A$6:$AB$188,11,FALSE),IF($C$1='Adj-Mixed'!$A$19,VLOOKUP(A164,'337'!$A$6:$AB$188,20,FALSE)))))</f>
        <v>138.58810651706676</v>
      </c>
      <c r="C164" s="26">
        <f t="shared" si="24"/>
        <v>905.21946875094272</v>
      </c>
      <c r="D164" s="27">
        <f t="shared" si="25"/>
        <v>0.29793107947509861</v>
      </c>
      <c r="E164" s="27">
        <f>IF(A164&gt;200,"",IF($C$1='Adj-Mixed'!$A$21,VLOOKUP(A164,'337'!$A$7:$AB$188,8,FALSE),IF($C$1='Adj-Mixed'!$A$20,VLOOKUP(A164,'337'!$A$7:$AB$188,17,FALSE),IF($C$1='Adj-Mixed'!$A$19,VLOOKUP(A164,'337'!$A$7:$AB$188,26,FALSE)))))</f>
        <v>3.3564809745992985</v>
      </c>
      <c r="F164" s="27">
        <f t="shared" si="21"/>
        <v>3.0383519246994233</v>
      </c>
      <c r="G164" s="28">
        <f t="shared" si="27"/>
        <v>318.0112979663275</v>
      </c>
      <c r="H164" s="1"/>
      <c r="I164" s="136">
        <f t="shared" si="26"/>
        <v>152.20624528295343</v>
      </c>
      <c r="J164" s="26">
        <f>IF(A164&gt;200,"",C164*'Adj-Barrows'!$C$6)</f>
        <v>997.89982820786327</v>
      </c>
      <c r="K164" s="27">
        <f>IF(A164&gt;200,"",D164*'Adj-Barrows'!$C$7)</f>
        <v>0.26450608972569489</v>
      </c>
      <c r="L164" s="1">
        <f t="shared" si="22"/>
        <v>3.7806312929772106</v>
      </c>
      <c r="M164" s="27">
        <f t="shared" si="23"/>
        <v>3.7726913177792305</v>
      </c>
      <c r="N164" s="31">
        <f t="shared" si="28"/>
        <v>394.8714607548157</v>
      </c>
    </row>
    <row r="165" spans="1:14" x14ac:dyDescent="0.25">
      <c r="A165" s="26">
        <f t="shared" si="20"/>
        <v>183</v>
      </c>
      <c r="B165" s="28">
        <f>IF(A165&gt;200,"",IF($C$1='Adj-Mixed'!$A$21,VLOOKUP(A165,'337'!$A$6:$AB$188,2,FALSE),IF($C$1='Adj-Mixed'!$A$20,VLOOKUP(A165,'337'!$A$6:$AB$188,11,FALSE),IF($C$1='Adj-Mixed'!$A$19,VLOOKUP(A165,'337'!$A$6:$AB$188,20,FALSE)))))</f>
        <v>139.4892607938836</v>
      </c>
      <c r="C165" s="26">
        <f t="shared" si="24"/>
        <v>901.15427681683968</v>
      </c>
      <c r="D165" s="27">
        <f t="shared" si="25"/>
        <v>0.29645328427391759</v>
      </c>
      <c r="E165" s="27">
        <f>IF(A165&gt;200,"",IF($C$1='Adj-Mixed'!$A$21,VLOOKUP(A165,'337'!$A$7:$AB$188,8,FALSE),IF($C$1='Adj-Mixed'!$A$20,VLOOKUP(A165,'337'!$A$7:$AB$188,17,FALSE),IF($C$1='Adj-Mixed'!$A$19,VLOOKUP(A165,'337'!$A$7:$AB$188,26,FALSE)))))</f>
        <v>3.3732127557609304</v>
      </c>
      <c r="F165" s="27">
        <f t="shared" si="21"/>
        <v>3.0397851014670803</v>
      </c>
      <c r="G165" s="28">
        <f t="shared" si="27"/>
        <v>321.05108306779459</v>
      </c>
      <c r="H165" s="1"/>
      <c r="I165" s="136">
        <f t="shared" si="26"/>
        <v>153.19966370695744</v>
      </c>
      <c r="J165" s="26">
        <f>IF(A165&gt;200,"",C165*'Adj-Barrows'!$C$6)</f>
        <v>993.41842400400662</v>
      </c>
      <c r="K165" s="27">
        <f>IF(A165&gt;200,"",D165*'Adj-Barrows'!$C$7)</f>
        <v>0.26319408887379164</v>
      </c>
      <c r="L165" s="1">
        <f t="shared" si="22"/>
        <v>3.7994774285357367</v>
      </c>
      <c r="M165" s="27">
        <f t="shared" si="23"/>
        <v>3.7744708790947672</v>
      </c>
      <c r="N165" s="31">
        <f t="shared" si="28"/>
        <v>398.64593163391049</v>
      </c>
    </row>
    <row r="166" spans="1:14" x14ac:dyDescent="0.25">
      <c r="A166" s="26">
        <f t="shared" si="20"/>
        <v>184</v>
      </c>
      <c r="B166" s="28">
        <f>IF(A166&gt;200,"",IF($C$1='Adj-Mixed'!$A$21,VLOOKUP(A166,'337'!$A$6:$AB$188,2,FALSE),IF($C$1='Adj-Mixed'!$A$20,VLOOKUP(A166,'337'!$A$6:$AB$188,11,FALSE),IF($C$1='Adj-Mixed'!$A$19,VLOOKUP(A166,'337'!$A$6:$AB$188,20,FALSE)))))</f>
        <v>140.38632446872194</v>
      </c>
      <c r="C166" s="26">
        <f t="shared" si="24"/>
        <v>897.0636748383356</v>
      </c>
      <c r="D166" s="27">
        <f t="shared" si="25"/>
        <v>0.29497408384226292</v>
      </c>
      <c r="E166" s="27">
        <f>IF(A166&gt;200,"",IF($C$1='Adj-Mixed'!$A$21,VLOOKUP(A166,'337'!$A$7:$AB$188,8,FALSE),IF($C$1='Adj-Mixed'!$A$20,VLOOKUP(A166,'337'!$A$7:$AB$188,17,FALSE),IF($C$1='Adj-Mixed'!$A$19,VLOOKUP(A166,'337'!$A$7:$AB$188,26,FALSE)))))</f>
        <v>3.3901283359345866</v>
      </c>
      <c r="F166" s="27">
        <f t="shared" si="21"/>
        <v>3.0411609832070519</v>
      </c>
      <c r="G166" s="28">
        <f t="shared" si="27"/>
        <v>324.09224405100167</v>
      </c>
      <c r="H166" s="1"/>
      <c r="I166" s="136">
        <f t="shared" si="26"/>
        <v>154.18857271512084</v>
      </c>
      <c r="J166" s="26">
        <f>IF(A166&gt;200,"",C166*'Adj-Barrows'!$C$6)</f>
        <v>988.90900816339445</v>
      </c>
      <c r="K166" s="27">
        <f>IF(A166&gt;200,"",D166*'Adj-Barrows'!$C$7)</f>
        <v>0.26188084044470239</v>
      </c>
      <c r="L166" s="1">
        <f t="shared" si="22"/>
        <v>3.8185305893393742</v>
      </c>
      <c r="M166" s="27">
        <f t="shared" si="23"/>
        <v>3.7761792977451822</v>
      </c>
      <c r="N166" s="31">
        <f t="shared" si="28"/>
        <v>402.42211093165565</v>
      </c>
    </row>
    <row r="167" spans="1:14" x14ac:dyDescent="0.25">
      <c r="A167" s="26">
        <f t="shared" si="20"/>
        <v>185</v>
      </c>
      <c r="B167" s="28">
        <f>IF(A167&gt;200,"",IF($C$1='Adj-Mixed'!$A$21,VLOOKUP(A167,'337'!$A$6:$AB$188,2,FALSE),IF($C$1='Adj-Mixed'!$A$20,VLOOKUP(A167,'337'!$A$6:$AB$188,11,FALSE),IF($C$1='Adj-Mixed'!$A$19,VLOOKUP(A167,'337'!$A$6:$AB$188,20,FALSE)))))</f>
        <v>141.2792734120076</v>
      </c>
      <c r="C167" s="26">
        <f t="shared" si="24"/>
        <v>892.94894328565988</v>
      </c>
      <c r="D167" s="27">
        <f t="shared" si="25"/>
        <v>0.29349359398444014</v>
      </c>
      <c r="E167" s="27">
        <f>IF(A167&gt;200,"",IF($C$1='Adj-Mixed'!$A$21,VLOOKUP(A167,'337'!$A$7:$AB$188,8,FALSE),IF($C$1='Adj-Mixed'!$A$20,VLOOKUP(A167,'337'!$A$7:$AB$188,17,FALSE),IF($C$1='Adj-Mixed'!$A$19,VLOOKUP(A167,'337'!$A$7:$AB$188,26,FALSE)))))</f>
        <v>3.4072293927240405</v>
      </c>
      <c r="F167" s="27">
        <f t="shared" si="21"/>
        <v>3.0424818857647726</v>
      </c>
      <c r="G167" s="28">
        <f t="shared" si="27"/>
        <v>327.13472593676647</v>
      </c>
      <c r="H167" s="1"/>
      <c r="I167" s="136">
        <f t="shared" si="26"/>
        <v>155.17294570737729</v>
      </c>
      <c r="J167" s="26">
        <f>IF(A167&gt;200,"",C167*'Adj-Barrows'!$C$6)</f>
        <v>984.3729922564429</v>
      </c>
      <c r="K167" s="27">
        <f>IF(A167&gt;200,"",D167*'Adj-Barrows'!$C$7)</f>
        <v>0.26056644725060807</v>
      </c>
      <c r="L167" s="1">
        <f t="shared" si="22"/>
        <v>3.8377926649865945</v>
      </c>
      <c r="M167" s="27">
        <f t="shared" si="23"/>
        <v>3.7778194492926822</v>
      </c>
      <c r="N167" s="31">
        <f t="shared" si="28"/>
        <v>406.19993038094833</v>
      </c>
    </row>
    <row r="168" spans="1:14" x14ac:dyDescent="0.25">
      <c r="A168" s="26">
        <f t="shared" si="20"/>
        <v>186</v>
      </c>
      <c r="B168" s="28">
        <f>IF(A168&gt;200,"",IF($C$1='Adj-Mixed'!$A$21,VLOOKUP(A168,'337'!$A$6:$AB$188,2,FALSE),IF($C$1='Adj-Mixed'!$A$20,VLOOKUP(A168,'337'!$A$6:$AB$188,11,FALSE),IF($C$1='Adj-Mixed'!$A$19,VLOOKUP(A168,'337'!$A$6:$AB$188,20,FALSE)))))</f>
        <v>142.16808475102107</v>
      </c>
      <c r="C168" s="26">
        <f t="shared" si="24"/>
        <v>888.81133901347198</v>
      </c>
      <c r="D168" s="27">
        <f t="shared" si="25"/>
        <v>0.29201193553176957</v>
      </c>
      <c r="E168" s="27">
        <f>IF(A168&gt;200,"",IF($C$1='Adj-Mixed'!$A$21,VLOOKUP(A168,'337'!$A$7:$AB$188,8,FALSE),IF($C$1='Adj-Mixed'!$A$20,VLOOKUP(A168,'337'!$A$7:$AB$188,17,FALSE),IF($C$1='Adj-Mixed'!$A$19,VLOOKUP(A168,'337'!$A$7:$AB$188,26,FALSE)))))</f>
        <v>3.424517556718857</v>
      </c>
      <c r="F168" s="27">
        <f t="shared" si="21"/>
        <v>3.0437500350624309</v>
      </c>
      <c r="G168" s="28">
        <f t="shared" si="27"/>
        <v>330.1784759718289</v>
      </c>
      <c r="H168" s="1"/>
      <c r="I168" s="136">
        <f t="shared" si="26"/>
        <v>156.15275746919744</v>
      </c>
      <c r="J168" s="26">
        <f>IF(A168&gt;200,"",C168*'Adj-Barrows'!$C$6)</f>
        <v>979.81176182013144</v>
      </c>
      <c r="K168" s="27">
        <f>IF(A168&gt;200,"",D168*'Adj-Barrows'!$C$7)</f>
        <v>0.25925101656672173</v>
      </c>
      <c r="L168" s="1">
        <f t="shared" si="22"/>
        <v>3.8572654921205936</v>
      </c>
      <c r="M168" s="27">
        <f t="shared" si="23"/>
        <v>3.7793940976426748</v>
      </c>
      <c r="N168" s="31">
        <f t="shared" si="28"/>
        <v>409.97932447859102</v>
      </c>
    </row>
    <row r="169" spans="1:14" x14ac:dyDescent="0.25">
      <c r="A169" s="26">
        <f t="shared" si="20"/>
        <v>187</v>
      </c>
      <c r="B169" s="28">
        <f>IF(A169&gt;200,"",IF($C$1='Adj-Mixed'!$A$21,VLOOKUP(A169,'337'!$A$6:$AB$188,2,FALSE),IF($C$1='Adj-Mixed'!$A$20,VLOOKUP(A169,'337'!$A$6:$AB$188,11,FALSE),IF($C$1='Adj-Mixed'!$A$19,VLOOKUP(A169,'337'!$A$6:$AB$188,20,FALSE)))))</f>
        <v>143.05273684636995</v>
      </c>
      <c r="C169" s="26">
        <f t="shared" si="24"/>
        <v>884.65209534888345</v>
      </c>
      <c r="D169" s="27">
        <f t="shared" si="25"/>
        <v>0.2905292338804506</v>
      </c>
      <c r="E169" s="27">
        <f>IF(A169&gt;200,"",IF($C$1='Adj-Mixed'!$A$21,VLOOKUP(A169,'337'!$A$7:$AB$188,8,FALSE),IF($C$1='Adj-Mixed'!$A$20,VLOOKUP(A169,'337'!$A$7:$AB$188,17,FALSE),IF($C$1='Adj-Mixed'!$A$19,VLOOKUP(A169,'337'!$A$7:$AB$188,26,FALSE)))))</f>
        <v>3.4419944135862361</v>
      </c>
      <c r="F169" s="27">
        <f t="shared" si="21"/>
        <v>3.0449675701582151</v>
      </c>
      <c r="G169" s="28">
        <f t="shared" si="27"/>
        <v>333.22344354198714</v>
      </c>
      <c r="H169" s="1"/>
      <c r="I169" s="136">
        <f t="shared" si="26"/>
        <v>157.12798414565248</v>
      </c>
      <c r="J169" s="26">
        <f>IF(A169&gt;200,"",C169*'Adj-Barrows'!$C$6)</f>
        <v>975.22667645503805</v>
      </c>
      <c r="K169" s="27">
        <f>IF(A169&gt;200,"",D169*'Adj-Barrows'!$C$7)</f>
        <v>0.25793465972100033</v>
      </c>
      <c r="L169" s="1">
        <f t="shared" si="22"/>
        <v>3.8769508567854665</v>
      </c>
      <c r="M169" s="27">
        <f t="shared" si="23"/>
        <v>3.7809058988424029</v>
      </c>
      <c r="N169" s="31">
        <f t="shared" si="28"/>
        <v>413.7602303774334</v>
      </c>
    </row>
    <row r="170" spans="1:14" x14ac:dyDescent="0.25">
      <c r="A170" s="26">
        <f t="shared" ref="A170:A185" si="29">A169+1</f>
        <v>188</v>
      </c>
      <c r="B170" s="28">
        <f>IF(A170&gt;200,"",IF($C$1='Adj-Mixed'!$A$21,VLOOKUP(A170,'337'!$A$6:$AB$188,2,FALSE),IF($C$1='Adj-Mixed'!$A$20,VLOOKUP(A170,'337'!$A$6:$AB$188,11,FALSE),IF($C$1='Adj-Mixed'!$A$19,VLOOKUP(A170,'337'!$A$6:$AB$188,20,FALSE)))))</f>
        <v>143.93320926856165</v>
      </c>
      <c r="C170" s="26">
        <f t="shared" si="24"/>
        <v>880.4724221917013</v>
      </c>
      <c r="D170" s="27">
        <f t="shared" si="25"/>
        <v>0.28904561854878769</v>
      </c>
      <c r="E170" s="27">
        <f>IF(A170&gt;200,"",IF($C$1='Adj-Mixed'!$A$21,VLOOKUP(A170,'337'!$A$7:$AB$188,8,FALSE),IF($C$1='Adj-Mixed'!$A$20,VLOOKUP(A170,'337'!$A$7:$AB$188,17,FALSE),IF($C$1='Adj-Mixed'!$A$19,VLOOKUP(A170,'337'!$A$7:$AB$188,26,FALSE)))))</f>
        <v>3.459661506099637</v>
      </c>
      <c r="F170" s="27">
        <f t="shared" ref="F170:F185" si="30">IF(A170&gt;200,"",(E170*C170)/1000)</f>
        <v>3.0461365462389369</v>
      </c>
      <c r="G170" s="28">
        <f t="shared" si="27"/>
        <v>336.26958008822606</v>
      </c>
      <c r="H170" s="1"/>
      <c r="I170" s="136">
        <f t="shared" si="26"/>
        <v>158.09860321558833</v>
      </c>
      <c r="J170" s="26">
        <f>IF(A170&gt;200,"",C170*'Adj-Barrows'!$C$6)</f>
        <v>970.61906993584535</v>
      </c>
      <c r="K170" s="27">
        <f>IF(A170&gt;200,"",D170*'Adj-Barrows'!$C$7)</f>
        <v>0.25661749170104542</v>
      </c>
      <c r="L170" s="1">
        <f t="shared" si="22"/>
        <v>3.8968504967111959</v>
      </c>
      <c r="M170" s="27">
        <f t="shared" si="23"/>
        <v>3.782357404796858</v>
      </c>
      <c r="N170" s="31">
        <f t="shared" si="28"/>
        <v>417.54258778223027</v>
      </c>
    </row>
    <row r="171" spans="1:14" x14ac:dyDescent="0.25">
      <c r="A171" s="26">
        <f t="shared" si="29"/>
        <v>189</v>
      </c>
      <c r="B171" s="28">
        <f>IF(A171&gt;200,"",IF($C$1='Adj-Mixed'!$A$21,VLOOKUP(A171,'337'!$A$6:$AB$188,2,FALSE),IF($C$1='Adj-Mixed'!$A$20,VLOOKUP(A171,'337'!$A$6:$AB$188,11,FALSE),IF($C$1='Adj-Mixed'!$A$19,VLOOKUP(A171,'337'!$A$6:$AB$188,20,FALSE)))))</f>
        <v>144.80948277468983</v>
      </c>
      <c r="C171" s="26">
        <f t="shared" si="24"/>
        <v>876.27350612817168</v>
      </c>
      <c r="D171" s="27">
        <f t="shared" si="25"/>
        <v>0.28756122275396617</v>
      </c>
      <c r="E171" s="27">
        <f>IF(A171&gt;200,"",IF($C$1='Adj-Mixed'!$A$21,VLOOKUP(A171,'337'!$A$7:$AB$188,8,FALSE),IF($C$1='Adj-Mixed'!$A$20,VLOOKUP(A171,'337'!$A$7:$AB$188,17,FALSE),IF($C$1='Adj-Mixed'!$A$19,VLOOKUP(A171,'337'!$A$7:$AB$188,26,FALSE)))))</f>
        <v>3.4775203360975677</v>
      </c>
      <c r="F171" s="27">
        <f t="shared" si="30"/>
        <v>3.0472589375442336</v>
      </c>
      <c r="G171" s="28">
        <f t="shared" si="27"/>
        <v>339.31683902577032</v>
      </c>
      <c r="H171" s="1"/>
      <c r="I171" s="136">
        <f t="shared" si="26"/>
        <v>159.06459346592504</v>
      </c>
      <c r="J171" s="26">
        <f>IF(A171&gt;200,"",C171*'Adj-Barrows'!$C$6)</f>
        <v>965.99025033672967</v>
      </c>
      <c r="K171" s="27">
        <f>IF(A171&gt;200,"",D171*'Adj-Barrows'!$C$7)</f>
        <v>0.25529963077836071</v>
      </c>
      <c r="L171" s="1">
        <f t="shared" si="22"/>
        <v>3.9169661035199601</v>
      </c>
      <c r="M171" s="27">
        <f t="shared" si="23"/>
        <v>3.7837510668997307</v>
      </c>
      <c r="N171" s="31">
        <f t="shared" si="28"/>
        <v>421.32633884913002</v>
      </c>
    </row>
    <row r="172" spans="1:14" x14ac:dyDescent="0.25">
      <c r="A172" s="26">
        <f t="shared" si="29"/>
        <v>190</v>
      </c>
      <c r="B172" s="28">
        <f>IF(A172&gt;200,"",IF($C$1='Adj-Mixed'!$A$21,VLOOKUP(A172,'337'!$A$6:$AB$188,2,FALSE),IF($C$1='Adj-Mixed'!$A$20,VLOOKUP(A172,'337'!$A$6:$AB$188,11,FALSE),IF($C$1='Adj-Mixed'!$A$19,VLOOKUP(A172,'337'!$A$6:$AB$188,20,FALSE)))))</f>
        <v>145.68153928524512</v>
      </c>
      <c r="C172" s="26">
        <f t="shared" si="24"/>
        <v>872.05651055529643</v>
      </c>
      <c r="D172" s="27">
        <f t="shared" si="25"/>
        <v>0.2860761830071698</v>
      </c>
      <c r="E172" s="27">
        <f>IF(A172&gt;200,"",IF($C$1='Adj-Mixed'!$A$21,VLOOKUP(A172,'337'!$A$7:$AB$188,8,FALSE),IF($C$1='Adj-Mixed'!$A$20,VLOOKUP(A172,'337'!$A$7:$AB$188,17,FALSE),IF($C$1='Adj-Mixed'!$A$19,VLOOKUP(A172,'337'!$A$7:$AB$188,26,FALSE)))))</f>
        <v>3.4955723663823406</v>
      </c>
      <c r="F172" s="27">
        <f t="shared" si="30"/>
        <v>3.0483366402209038</v>
      </c>
      <c r="G172" s="28">
        <f t="shared" si="27"/>
        <v>342.36517566599122</v>
      </c>
      <c r="H172" s="1"/>
      <c r="I172" s="136">
        <f t="shared" si="26"/>
        <v>160.02593496609344</v>
      </c>
      <c r="J172" s="26">
        <f>IF(A172&gt;200,"",C172*'Adj-Barrows'!$C$6)</f>
        <v>961.34150016840624</v>
      </c>
      <c r="K172" s="27">
        <f>IF(A172&gt;200,"",D172*'Adj-Barrows'!$C$7)</f>
        <v>0.25398119814889358</v>
      </c>
      <c r="L172" s="1">
        <f t="shared" si="22"/>
        <v>3.9372993248648327</v>
      </c>
      <c r="M172" s="27">
        <f t="shared" si="23"/>
        <v>3.7850892395776112</v>
      </c>
      <c r="N172" s="31">
        <f t="shared" si="28"/>
        <v>425.11142808870761</v>
      </c>
    </row>
    <row r="173" spans="1:14" x14ac:dyDescent="0.25">
      <c r="A173" s="26">
        <f t="shared" si="29"/>
        <v>191</v>
      </c>
      <c r="B173" s="28">
        <f>IF(A173&gt;200,"",IF($C$1='Adj-Mixed'!$A$21,VLOOKUP(A173,'337'!$A$6:$AB$188,2,FALSE),IF($C$1='Adj-Mixed'!$A$20,VLOOKUP(A173,'337'!$A$6:$AB$188,11,FALSE),IF($C$1='Adj-Mixed'!$A$19,VLOOKUP(A173,'337'!$A$6:$AB$188,20,FALSE)))))</f>
        <v>146.54936186106221</v>
      </c>
      <c r="C173" s="26">
        <f t="shared" si="24"/>
        <v>867.82257581708677</v>
      </c>
      <c r="D173" s="27">
        <f t="shared" si="25"/>
        <v>0.28459063872722828</v>
      </c>
      <c r="E173" s="27">
        <f>IF(A173&gt;200,"",IF($C$1='Adj-Mixed'!$A$21,VLOOKUP(A173,'337'!$A$7:$AB$188,8,FALSE),IF($C$1='Adj-Mixed'!$A$20,VLOOKUP(A173,'337'!$A$7:$AB$188,17,FALSE),IF($C$1='Adj-Mixed'!$A$19,VLOOKUP(A173,'337'!$A$7:$AB$188,26,FALSE)))))</f>
        <v>3.5138190225521453</v>
      </c>
      <c r="F173" s="27">
        <f t="shared" si="30"/>
        <v>3.0493714751062808</v>
      </c>
      <c r="G173" s="28">
        <f t="shared" si="27"/>
        <v>345.4145471410975</v>
      </c>
      <c r="H173" s="1"/>
      <c r="I173" s="136">
        <f t="shared" si="26"/>
        <v>160.98260904262179</v>
      </c>
      <c r="J173" s="26">
        <f>IF(A173&gt;200,"",C173*'Adj-Barrows'!$C$6)</f>
        <v>956.67407652833299</v>
      </c>
      <c r="K173" s="27">
        <f>IF(A173&gt;200,"",D173*'Adj-Barrows'!$C$7)</f>
        <v>0.25266231759002744</v>
      </c>
      <c r="L173" s="1">
        <f t="shared" si="22"/>
        <v>3.9578517664933739</v>
      </c>
      <c r="M173" s="27">
        <f t="shared" si="23"/>
        <v>3.78637418374608</v>
      </c>
      <c r="N173" s="31">
        <f t="shared" si="28"/>
        <v>428.8978022724537</v>
      </c>
    </row>
    <row r="174" spans="1:14" x14ac:dyDescent="0.25">
      <c r="A174" s="26">
        <f t="shared" si="29"/>
        <v>192</v>
      </c>
      <c r="B174" s="28">
        <f>IF(A174&gt;200,"",IF($C$1='Adj-Mixed'!$A$21,VLOOKUP(A174,'337'!$A$6:$AB$188,2,FALSE),IF($C$1='Adj-Mixed'!$A$20,VLOOKUP(A174,'337'!$A$6:$AB$188,11,FALSE),IF($C$1='Adj-Mixed'!$A$19,VLOOKUP(A174,'337'!$A$6:$AB$188,20,FALSE)))))</f>
        <v>147.41293468041337</v>
      </c>
      <c r="C174" s="26">
        <f t="shared" si="24"/>
        <v>863.57281935116248</v>
      </c>
      <c r="D174" s="27">
        <f t="shared" si="25"/>
        <v>0.28310473187200297</v>
      </c>
      <c r="E174" s="27">
        <f>IF(A174&gt;200,"",IF($C$1='Adj-Mixed'!$A$21,VLOOKUP(A174,'337'!$A$7:$AB$188,8,FALSE),IF($C$1='Adj-Mixed'!$A$20,VLOOKUP(A174,'337'!$A$7:$AB$188,17,FALSE),IF($C$1='Adj-Mixed'!$A$19,VLOOKUP(A174,'337'!$A$7:$AB$188,26,FALSE)))))</f>
        <v>3.5322616947713859</v>
      </c>
      <c r="F174" s="27">
        <f t="shared" si="30"/>
        <v>3.050365190439841</v>
      </c>
      <c r="G174" s="28">
        <f t="shared" si="27"/>
        <v>348.46491233153733</v>
      </c>
      <c r="H174" s="1"/>
      <c r="I174" s="136">
        <f t="shared" si="26"/>
        <v>161.9345982538841</v>
      </c>
      <c r="J174" s="26">
        <f>IF(A174&gt;200,"",C174*'Adj-Barrows'!$C$6)</f>
        <v>951.9892112623188</v>
      </c>
      <c r="K174" s="27">
        <f>IF(A174&gt;200,"",D174*'Adj-Barrows'!$C$7)</f>
        <v>0.25134311513332269</v>
      </c>
      <c r="L174" s="1">
        <f t="shared" si="22"/>
        <v>3.9786249942416725</v>
      </c>
      <c r="M174" s="27">
        <f t="shared" si="23"/>
        <v>3.7876080701766774</v>
      </c>
      <c r="N174" s="31">
        <f t="shared" si="28"/>
        <v>432.68541034263041</v>
      </c>
    </row>
    <row r="175" spans="1:14" x14ac:dyDescent="0.25">
      <c r="A175" s="26">
        <f t="shared" si="29"/>
        <v>193</v>
      </c>
      <c r="B175" s="28">
        <f>IF(A175&gt;200,"",IF($C$1='Adj-Mixed'!$A$21,VLOOKUP(A175,'337'!$A$6:$AB$188,2,FALSE),IF($C$1='Adj-Mixed'!$A$20,VLOOKUP(A175,'337'!$A$6:$AB$188,11,FALSE),IF($C$1='Adj-Mixed'!$A$19,VLOOKUP(A175,'337'!$A$6:$AB$188,20,FALSE)))))</f>
        <v>148.27224301625907</v>
      </c>
      <c r="C175" s="26">
        <f t="shared" si="24"/>
        <v>859.30833584569655</v>
      </c>
      <c r="D175" s="27">
        <f t="shared" si="25"/>
        <v>0.28161860658722832</v>
      </c>
      <c r="E175" s="27">
        <f>IF(A175&gt;200,"",IF($C$1='Adj-Mixed'!$A$21,VLOOKUP(A175,'337'!$A$7:$AB$188,8,FALSE),IF($C$1='Adj-Mixed'!$A$20,VLOOKUP(A175,'337'!$A$7:$AB$188,17,FALSE),IF($C$1='Adj-Mixed'!$A$19,VLOOKUP(A175,'337'!$A$7:$AB$188,26,FALSE)))))</f>
        <v>3.5509017394781437</v>
      </c>
      <c r="F175" s="27">
        <f t="shared" si="30"/>
        <v>3.0513194645025528</v>
      </c>
      <c r="G175" s="28">
        <f t="shared" si="27"/>
        <v>351.5162317960399</v>
      </c>
      <c r="H175" s="1"/>
      <c r="I175" s="136">
        <f t="shared" si="26"/>
        <v>162.88188636502164</v>
      </c>
      <c r="J175" s="26">
        <f>IF(A175&gt;200,"",C175*'Adj-Barrows'!$C$6)</f>
        <v>947.28811113753727</v>
      </c>
      <c r="K175" s="27">
        <f>IF(A175&gt;200,"",D175*'Adj-Barrows'!$C$7)</f>
        <v>0.25002371875275448</v>
      </c>
      <c r="L175" s="1">
        <f t="shared" si="22"/>
        <v>3.9996205359575834</v>
      </c>
      <c r="M175" s="27">
        <f t="shared" si="23"/>
        <v>3.7887929827741638</v>
      </c>
      <c r="N175" s="31">
        <f t="shared" si="28"/>
        <v>436.47420332540457</v>
      </c>
    </row>
    <row r="176" spans="1:14" x14ac:dyDescent="0.25">
      <c r="A176" s="26">
        <f t="shared" si="29"/>
        <v>194</v>
      </c>
      <c r="B176" s="28">
        <f>IF(A176&gt;200,"",IF($C$1='Adj-Mixed'!$A$21,VLOOKUP(A176,'337'!$A$6:$AB$188,2,FALSE),IF($C$1='Adj-Mixed'!$A$20,VLOOKUP(A176,'337'!$A$6:$AB$188,11,FALSE),IF($C$1='Adj-Mixed'!$A$19,VLOOKUP(A176,'337'!$A$6:$AB$188,20,FALSE)))))</f>
        <v>149.12727321366421</v>
      </c>
      <c r="C176" s="26">
        <f t="shared" si="24"/>
        <v>855.03019740514219</v>
      </c>
      <c r="D176" s="27">
        <f t="shared" si="25"/>
        <v>0.28013240887200996</v>
      </c>
      <c r="E176" s="27">
        <f>IF(A176&gt;200,"",IF($C$1='Adj-Mixed'!$A$21,VLOOKUP(A176,'337'!$A$7:$AB$188,8,FALSE),IF($C$1='Adj-Mixed'!$A$20,VLOOKUP(A176,'337'!$A$7:$AB$188,17,FALSE),IF($C$1='Adj-Mixed'!$A$19,VLOOKUP(A176,'337'!$A$7:$AB$188,26,FALSE)))))</f>
        <v>3.5697404810340645</v>
      </c>
      <c r="F176" s="27">
        <f t="shared" si="30"/>
        <v>3.0522359081836834</v>
      </c>
      <c r="G176" s="28">
        <f t="shared" si="27"/>
        <v>354.56846770422356</v>
      </c>
      <c r="H176" s="1"/>
      <c r="I176" s="136">
        <f t="shared" si="26"/>
        <v>163.82445832304685</v>
      </c>
      <c r="J176" s="26">
        <f>IF(A176&gt;200,"",C176*'Adj-Barrows'!$C$6)</f>
        <v>942.57195802522142</v>
      </c>
      <c r="K176" s="27">
        <f>IF(A176&gt;200,"",D176*'Adj-Barrows'!$C$7)</f>
        <v>0.2487042580677388</v>
      </c>
      <c r="L176" s="1">
        <f t="shared" si="22"/>
        <v>4.0208398833591064</v>
      </c>
      <c r="M176" s="27">
        <f t="shared" si="23"/>
        <v>3.7899309217636961</v>
      </c>
      <c r="N176" s="31">
        <f t="shared" si="28"/>
        <v>440.26413424716827</v>
      </c>
    </row>
    <row r="177" spans="1:14" x14ac:dyDescent="0.25">
      <c r="A177" s="26">
        <f t="shared" si="29"/>
        <v>195</v>
      </c>
      <c r="B177" s="28">
        <f>IF(A177&gt;200,"",IF($C$1='Adj-Mixed'!$A$21,VLOOKUP(A177,'337'!$A$6:$AB$188,2,FALSE),IF($C$1='Adj-Mixed'!$A$20,VLOOKUP(A177,'337'!$A$6:$AB$188,11,FALSE),IF($C$1='Adj-Mixed'!$A$19,VLOOKUP(A177,'337'!$A$6:$AB$188,20,FALSE)))))</f>
        <v>149.9780126673904</v>
      </c>
      <c r="C177" s="26">
        <f t="shared" si="24"/>
        <v>850.73945372619164</v>
      </c>
      <c r="D177" s="27">
        <f t="shared" si="25"/>
        <v>0.27864628626115567</v>
      </c>
      <c r="E177" s="27">
        <f>IF(A177&gt;200,"",IF($C$1='Adj-Mixed'!$A$21,VLOOKUP(A177,'337'!$A$7:$AB$188,8,FALSE),IF($C$1='Adj-Mixed'!$A$20,VLOOKUP(A177,'337'!$A$7:$AB$188,17,FALSE),IF($C$1='Adj-Mixed'!$A$19,VLOOKUP(A177,'337'!$A$7:$AB$188,26,FALSE)))))</f>
        <v>3.5887792133097727</v>
      </c>
      <c r="F177" s="27">
        <f t="shared" si="30"/>
        <v>3.0531160674750675</v>
      </c>
      <c r="G177" s="28">
        <f t="shared" si="27"/>
        <v>357.62158377169862</v>
      </c>
      <c r="H177" s="1"/>
      <c r="I177" s="136">
        <f t="shared" si="26"/>
        <v>164.76230023214148</v>
      </c>
      <c r="J177" s="26">
        <f>IF(A177&gt;200,"",C177*'Adj-Barrows'!$C$6)</f>
        <v>937.84190909463803</v>
      </c>
      <c r="K177" s="27">
        <f>IF(A177&gt;200,"",D177*'Adj-Barrows'!$C$7)</f>
        <v>0.24738486406110288</v>
      </c>
      <c r="L177" s="1">
        <f t="shared" si="22"/>
        <v>4.0422844938201425</v>
      </c>
      <c r="M177" s="27">
        <f t="shared" si="23"/>
        <v>3.7910238067879352</v>
      </c>
      <c r="N177" s="31">
        <f t="shared" si="28"/>
        <v>444.05515805395623</v>
      </c>
    </row>
    <row r="178" spans="1:14" x14ac:dyDescent="0.25">
      <c r="A178" s="26">
        <f t="shared" si="29"/>
        <v>196</v>
      </c>
      <c r="B178" s="28">
        <f>IF(A178&gt;200,"",IF($C$1='Adj-Mixed'!$A$21,VLOOKUP(A178,'337'!$A$6:$AB$188,2,FALSE),IF($C$1='Adj-Mixed'!$A$20,VLOOKUP(A178,'337'!$A$6:$AB$188,11,FALSE),IF($C$1='Adj-Mixed'!$A$19,VLOOKUP(A178,'337'!$A$6:$AB$188,20,FALSE)))))</f>
        <v>150.82444979967113</v>
      </c>
      <c r="C178" s="26">
        <f t="shared" si="24"/>
        <v>846.4371322807267</v>
      </c>
      <c r="D178" s="27">
        <f t="shared" si="25"/>
        <v>0.27716038752297539</v>
      </c>
      <c r="E178" s="27">
        <f>IF(A178&gt;200,"",IF($C$1='Adj-Mixed'!$A$21,VLOOKUP(A178,'337'!$A$7:$AB$188,8,FALSE),IF($C$1='Adj-Mixed'!$A$20,VLOOKUP(A178,'337'!$A$7:$AB$188,17,FALSE),IF($C$1='Adj-Mixed'!$A$19,VLOOKUP(A178,'337'!$A$7:$AB$188,26,FALSE)))))</f>
        <v>3.6080192012182994</v>
      </c>
      <c r="F178" s="27">
        <f t="shared" si="30"/>
        <v>3.0539614258930157</v>
      </c>
      <c r="G178" s="28">
        <f t="shared" si="27"/>
        <v>360.67554519759165</v>
      </c>
      <c r="H178" s="1"/>
      <c r="I178" s="136">
        <f t="shared" si="26"/>
        <v>165.69539932915626</v>
      </c>
      <c r="J178" s="26">
        <f>IF(A178&gt;200,"",C178*'Adj-Barrows'!$C$6)</f>
        <v>933.09909701476909</v>
      </c>
      <c r="K178" s="27">
        <f>IF(A178&gt;200,"",D178*'Adj-Barrows'!$C$7)</f>
        <v>0.24606566881078912</v>
      </c>
      <c r="L178" s="1">
        <f t="shared" si="22"/>
        <v>4.0639557920976968</v>
      </c>
      <c r="M178" s="27">
        <f t="shared" si="23"/>
        <v>3.7920734799143014</v>
      </c>
      <c r="N178" s="31">
        <f t="shared" si="28"/>
        <v>447.84723153387051</v>
      </c>
    </row>
    <row r="179" spans="1:14" x14ac:dyDescent="0.25">
      <c r="A179" s="26">
        <f t="shared" si="29"/>
        <v>197</v>
      </c>
      <c r="B179" s="28">
        <f>IF(A179&gt;200,"",IF($C$1='Adj-Mixed'!$A$21,VLOOKUP(A179,'337'!$A$6:$AB$188,2,FALSE),IF($C$1='Adj-Mixed'!$A$20,VLOOKUP(A179,'337'!$A$6:$AB$188,11,FALSE),IF($C$1='Adj-Mixed'!$A$19,VLOOKUP(A179,'337'!$A$6:$AB$188,20,FALSE)))))</f>
        <v>151.66657403817945</v>
      </c>
      <c r="C179" s="26">
        <f t="shared" si="24"/>
        <v>842.12423850831897</v>
      </c>
      <c r="D179" s="27">
        <f t="shared" si="25"/>
        <v>0.27567486237307975</v>
      </c>
      <c r="E179" s="27">
        <f>IF(A179&gt;200,"",IF($C$1='Adj-Mixed'!$A$21,VLOOKUP(A179,'337'!$A$7:$AB$188,8,FALSE),IF($C$1='Adj-Mixed'!$A$20,VLOOKUP(A179,'337'!$A$7:$AB$188,17,FALSE),IF($C$1='Adj-Mixed'!$A$19,VLOOKUP(A179,'337'!$A$7:$AB$188,26,FALSE)))))</f>
        <v>3.6274616821851078</v>
      </c>
      <c r="F179" s="27">
        <f t="shared" si="30"/>
        <v>3.0547734068282399</v>
      </c>
      <c r="G179" s="28">
        <f t="shared" si="27"/>
        <v>363.73031860441989</v>
      </c>
      <c r="H179" s="1"/>
      <c r="I179" s="136">
        <f t="shared" si="26"/>
        <v>166.62374395932278</v>
      </c>
      <c r="J179" s="26">
        <f>IF(A179&gt;200,"",C179*'Adj-Barrows'!$C$6)</f>
        <v>928.34463016652171</v>
      </c>
      <c r="K179" s="27">
        <f>IF(A179&gt;200,"",D179*'Adj-Barrows'!$C$7)</f>
        <v>0.24474680523576248</v>
      </c>
      <c r="L179" s="1">
        <f t="shared" si="22"/>
        <v>4.0858551719876735</v>
      </c>
      <c r="M179" s="27">
        <f t="shared" si="23"/>
        <v>3.793081708552867</v>
      </c>
      <c r="N179" s="31">
        <f t="shared" si="28"/>
        <v>451.64031324242336</v>
      </c>
    </row>
    <row r="180" spans="1:14" x14ac:dyDescent="0.25">
      <c r="A180" s="26">
        <f t="shared" si="29"/>
        <v>198</v>
      </c>
      <c r="B180" s="28">
        <f>IF(A180&gt;200,"",IF($C$1='Adj-Mixed'!$A$21,VLOOKUP(A180,'337'!$A$6:$AB$188,2,FALSE),IF($C$1='Adj-Mixed'!$A$20,VLOOKUP(A180,'337'!$A$6:$AB$188,11,FALSE),IF($C$1='Adj-Mixed'!$A$19,VLOOKUP(A180,'337'!$A$6:$AB$188,20,FALSE)))))</f>
        <v>152.50437579419406</v>
      </c>
      <c r="C180" s="26">
        <f t="shared" si="24"/>
        <v>837.80175601461337</v>
      </c>
      <c r="D180" s="27">
        <f t="shared" si="25"/>
        <v>0.2741898612026642</v>
      </c>
      <c r="E180" s="27">
        <f>IF(A180&gt;200,"",IF($C$1='Adj-Mixed'!$A$21,VLOOKUP(A180,'337'!$A$7:$AB$188,8,FALSE),IF($C$1='Adj-Mixed'!$A$20,VLOOKUP(A180,'337'!$A$7:$AB$188,17,FALSE),IF($C$1='Adj-Mixed'!$A$19,VLOOKUP(A180,'337'!$A$7:$AB$188,26,FALSE)))))</f>
        <v>3.6471078675694057</v>
      </c>
      <c r="F180" s="27">
        <f t="shared" si="30"/>
        <v>3.0555533758243603</v>
      </c>
      <c r="G180" s="28">
        <f t="shared" si="27"/>
        <v>366.78587198024428</v>
      </c>
      <c r="H180" s="1"/>
      <c r="I180" s="136">
        <f t="shared" si="26"/>
        <v>167.5473235521842</v>
      </c>
      <c r="J180" s="26">
        <f>IF(A180&gt;200,"",C180*'Adj-Barrows'!$C$6)</f>
        <v>923.5795928614225</v>
      </c>
      <c r="K180" s="27">
        <f>IF(A180&gt;200,"",D180*'Adj-Barrows'!$C$7)</f>
        <v>0.24342840685477876</v>
      </c>
      <c r="L180" s="1">
        <f t="shared" si="22"/>
        <v>4.1079839979257908</v>
      </c>
      <c r="M180" s="27">
        <f t="shared" si="23"/>
        <v>3.7940501882855404</v>
      </c>
      <c r="N180" s="31">
        <f t="shared" si="28"/>
        <v>455.43436343070891</v>
      </c>
    </row>
    <row r="181" spans="1:14" x14ac:dyDescent="0.25">
      <c r="A181" s="26">
        <f t="shared" si="29"/>
        <v>199</v>
      </c>
      <c r="B181" s="28">
        <f>IF(A181&gt;200,"",IF($C$1='Adj-Mixed'!$A$21,VLOOKUP(A181,'337'!$A$6:$AB$188,2,FALSE),IF($C$1='Adj-Mixed'!$A$20,VLOOKUP(A181,'337'!$A$6:$AB$188,11,FALSE),IF($C$1='Adj-Mixed'!$A$19,VLOOKUP(A181,'337'!$A$6:$AB$188,20,FALSE)))))</f>
        <v>153.33784644097247</v>
      </c>
      <c r="C181" s="26">
        <f t="shared" si="24"/>
        <v>833.47064677840876</v>
      </c>
      <c r="D181" s="27">
        <f t="shared" si="25"/>
        <v>0.27270553482188403</v>
      </c>
      <c r="E181" s="27">
        <f>IF(A181&gt;200,"",IF($C$1='Adj-Mixed'!$A$21,VLOOKUP(A181,'337'!$A$7:$AB$188,8,FALSE),IF($C$1='Adj-Mixed'!$A$20,VLOOKUP(A181,'337'!$A$7:$AB$188,17,FALSE),IF($C$1='Adj-Mixed'!$A$19,VLOOKUP(A181,'337'!$A$7:$AB$188,26,FALSE)))))</f>
        <v>3.6669589440241612</v>
      </c>
      <c r="F181" s="27">
        <f t="shared" si="30"/>
        <v>3.0563026427856883</v>
      </c>
      <c r="G181" s="28">
        <f t="shared" si="27"/>
        <v>369.84217462302996</v>
      </c>
      <c r="I181" s="136">
        <f t="shared" si="26"/>
        <v>168.46612859775411</v>
      </c>
      <c r="J181" s="26">
        <f>IF(A181&gt;200,"",C181*'Adj-Barrows'!$C$6)</f>
        <v>918.80504556990024</v>
      </c>
      <c r="K181" s="27">
        <f>IF(A181&gt;200,"",D181*'Adj-Barrows'!$C$7)</f>
        <v>0.24211060755855035</v>
      </c>
      <c r="L181" s="1">
        <f t="shared" si="22"/>
        <v>4.1303436065194576</v>
      </c>
      <c r="M181" s="27">
        <f t="shared" si="23"/>
        <v>3.7949805456074568</v>
      </c>
      <c r="N181" s="31">
        <f t="shared" si="28"/>
        <v>459.22934397631639</v>
      </c>
    </row>
    <row r="182" spans="1:14" x14ac:dyDescent="0.25">
      <c r="A182" s="26">
        <f t="shared" si="29"/>
        <v>200</v>
      </c>
      <c r="B182" s="28">
        <f>IF(A182&gt;200,"",IF($C$1='Adj-Mixed'!$A$21,VLOOKUP(A182,'337'!$A$6:$AB$188,2,FALSE),IF($C$1='Adj-Mixed'!$A$20,VLOOKUP(A182,'337'!$A$6:$AB$188,11,FALSE),IF($C$1='Adj-Mixed'!$A$19,VLOOKUP(A182,'337'!$A$6:$AB$188,20,FALSE)))))</f>
        <v>154.16697829233632</v>
      </c>
      <c r="C182" s="26">
        <f t="shared" si="24"/>
        <v>829.13185136385437</v>
      </c>
      <c r="D182" s="27">
        <f t="shared" si="25"/>
        <v>0.27122203421683055</v>
      </c>
      <c r="E182" s="27">
        <f>IF(A182&gt;200,"",IF($C$1='Adj-Mixed'!$A$21,VLOOKUP(A182,'337'!$A$7:$AB$188,8,FALSE),IF($C$1='Adj-Mixed'!$A$20,VLOOKUP(A182,'337'!$A$7:$AB$188,17,FALSE),IF($C$1='Adj-Mixed'!$A$19,VLOOKUP(A182,'337'!$A$7:$AB$188,26,FALSE)))))</f>
        <v>3.6870160748095495</v>
      </c>
      <c r="F182" s="27">
        <f t="shared" si="30"/>
        <v>3.0570224641151329</v>
      </c>
      <c r="G182" s="28">
        <f t="shared" si="27"/>
        <v>372.89919708714507</v>
      </c>
      <c r="I182" s="136">
        <f t="shared" si="26"/>
        <v>169.38015062290933</v>
      </c>
      <c r="J182" s="26">
        <f>IF(A182&gt;200,"",C182*'Adj-Barrows'!$C$6)</f>
        <v>914.02202515520764</v>
      </c>
      <c r="K182" s="27">
        <f>IF(A182&gt;200,"",D182*'Adj-Barrows'!$C$7)</f>
        <v>0.24079354139398731</v>
      </c>
      <c r="L182" s="1">
        <f t="shared" si="22"/>
        <v>4.152935308027204</v>
      </c>
      <c r="M182" s="27">
        <f t="shared" si="23"/>
        <v>3.7958743405815913</v>
      </c>
      <c r="N182" s="31">
        <f t="shared" si="28"/>
        <v>463.02521831689796</v>
      </c>
    </row>
    <row r="183" spans="1:14" x14ac:dyDescent="0.25">
      <c r="A183" s="26">
        <f t="shared" si="29"/>
        <v>201</v>
      </c>
      <c r="B183" s="28" t="str">
        <f>IF(A183&gt;200,"",IF($C$1='Adj-Mixed'!$A$21,VLOOKUP(A183,'337'!$A$6:$AB$188,2,FALSE),IF($C$1='Adj-Mixed'!$A$20,VLOOKUP(A183,'337'!$A$6:$AB$188,11,FALSE),IF($C$1='Adj-Mixed'!$A$19,VLOOKUP(A183,'337'!$A$6:$AB$188,20,FALSE)))))</f>
        <v/>
      </c>
      <c r="C183" s="26" t="str">
        <f t="shared" si="24"/>
        <v/>
      </c>
      <c r="D183" s="27" t="str">
        <f t="shared" si="25"/>
        <v/>
      </c>
      <c r="E183" s="27" t="str">
        <f>IF(A183&gt;200,"",IF($C$1='Adj-Mixed'!$A$21,VLOOKUP(A183,'337'!$A$7:$AB$188,8,FALSE),IF($C$1='Adj-Mixed'!$A$20,VLOOKUP(A183,'337'!$A$7:$AB$188,17,FALSE),IF($C$1='Adj-Mixed'!$A$19,VLOOKUP(A183,'337'!$A$7:$AB$188,26,FALSE)))))</f>
        <v/>
      </c>
      <c r="F183" s="27" t="str">
        <f t="shared" si="30"/>
        <v/>
      </c>
      <c r="G183" s="28" t="str">
        <f t="shared" si="27"/>
        <v/>
      </c>
      <c r="I183" s="136" t="str">
        <f t="shared" si="26"/>
        <v/>
      </c>
      <c r="J183" s="26" t="str">
        <f>IF(A183&gt;200,"",C183*'Adj-Barrows'!$C$6)</f>
        <v/>
      </c>
      <c r="K183" s="27" t="str">
        <f>IF(A183&gt;200,"",D183*'Adj-Barrows'!$C$7)</f>
        <v/>
      </c>
      <c r="L183" s="1" t="str">
        <f t="shared" si="22"/>
        <v/>
      </c>
      <c r="M183" s="27" t="str">
        <f t="shared" si="23"/>
        <v/>
      </c>
      <c r="N183" s="31" t="str">
        <f t="shared" si="28"/>
        <v/>
      </c>
    </row>
    <row r="184" spans="1:14" x14ac:dyDescent="0.25">
      <c r="A184" s="26">
        <f t="shared" si="29"/>
        <v>202</v>
      </c>
      <c r="B184" s="28" t="str">
        <f>IF(A184&gt;200,"",IF($C$1='Adj-Mixed'!$A$21,VLOOKUP(A184,'337'!$A$6:$AB$188,2,FALSE),IF($C$1='Adj-Mixed'!$A$20,VLOOKUP(A184,'337'!$A$6:$AB$188,11,FALSE),IF($C$1='Adj-Mixed'!$A$19,VLOOKUP(A184,'337'!$A$6:$AB$188,20,FALSE)))))</f>
        <v/>
      </c>
      <c r="C184" s="26" t="str">
        <f t="shared" si="24"/>
        <v/>
      </c>
      <c r="D184" s="27" t="str">
        <f t="shared" si="25"/>
        <v/>
      </c>
      <c r="E184" s="27" t="str">
        <f>IF(A184&gt;200,"",IF($C$1='Adj-Mixed'!$A$21,VLOOKUP(A184,'337'!$A$7:$AB$188,8,FALSE),IF($C$1='Adj-Mixed'!$A$20,VLOOKUP(A184,'337'!$A$7:$AB$188,17,FALSE),IF($C$1='Adj-Mixed'!$A$19,VLOOKUP(A184,'337'!$A$7:$AB$188,26,FALSE)))))</f>
        <v/>
      </c>
      <c r="F184" s="27" t="str">
        <f t="shared" si="30"/>
        <v/>
      </c>
      <c r="G184" s="28" t="str">
        <f t="shared" si="27"/>
        <v/>
      </c>
      <c r="I184" s="136" t="str">
        <f t="shared" si="26"/>
        <v/>
      </c>
      <c r="J184" s="26" t="str">
        <f>IF(A184&gt;200,"",C184*'Adj-Barrows'!$C$6)</f>
        <v/>
      </c>
      <c r="K184" s="27" t="str">
        <f>IF(A184&gt;200,"",D184*'Adj-Barrows'!$C$7)</f>
        <v/>
      </c>
      <c r="L184" s="1" t="str">
        <f t="shared" si="22"/>
        <v/>
      </c>
      <c r="M184" s="27" t="str">
        <f t="shared" si="23"/>
        <v/>
      </c>
      <c r="N184" s="31" t="str">
        <f t="shared" si="28"/>
        <v/>
      </c>
    </row>
    <row r="185" spans="1:14" x14ac:dyDescent="0.25">
      <c r="A185" s="26">
        <f t="shared" si="29"/>
        <v>203</v>
      </c>
      <c r="B185" s="28" t="str">
        <f>IF(A185&gt;200,"",IF($C$1='Adj-Mixed'!$A$21,VLOOKUP(A185,'337'!$A$6:$AB$188,2,FALSE),IF($C$1='Adj-Mixed'!$A$20,VLOOKUP(A185,'337'!$A$6:$AB$188,11,FALSE),IF($C$1='Adj-Mixed'!$A$19,VLOOKUP(A185,'337'!$A$6:$AB$188,20,FALSE)))))</f>
        <v/>
      </c>
      <c r="C185" s="26" t="str">
        <f t="shared" si="24"/>
        <v/>
      </c>
      <c r="D185" s="27" t="str">
        <f t="shared" si="25"/>
        <v/>
      </c>
      <c r="E185" s="27" t="str">
        <f>IF(A185&gt;200,"",IF($C$1='Adj-Mixed'!$A$21,VLOOKUP(A185,'337'!$A$7:$AB$188,8,FALSE),IF($C$1='Adj-Mixed'!$A$20,VLOOKUP(A185,'337'!$A$7:$AB$188,17,FALSE),IF($C$1='Adj-Mixed'!$A$19,VLOOKUP(A185,'337'!$A$7:$AB$188,26,FALSE)))))</f>
        <v/>
      </c>
      <c r="F185" s="27" t="str">
        <f t="shared" si="30"/>
        <v/>
      </c>
      <c r="G185" s="28" t="str">
        <f t="shared" si="27"/>
        <v/>
      </c>
      <c r="I185" s="136" t="str">
        <f t="shared" si="26"/>
        <v/>
      </c>
      <c r="J185" s="26" t="str">
        <f>IF(A185&gt;200,"",C185*'Adj-Barrows'!$C$6)</f>
        <v/>
      </c>
      <c r="K185" s="27" t="str">
        <f>IF(A185&gt;200,"",D185*'Adj-Barrows'!$C$7)</f>
        <v/>
      </c>
      <c r="L185" s="1" t="str">
        <f t="shared" si="22"/>
        <v/>
      </c>
      <c r="M185" s="27" t="str">
        <f t="shared" si="23"/>
        <v/>
      </c>
      <c r="N185" s="31" t="str">
        <f t="shared" si="28"/>
        <v/>
      </c>
    </row>
    <row r="186" spans="1:14" x14ac:dyDescent="0.25">
      <c r="I186" s="137"/>
    </row>
    <row r="187" spans="1:14" x14ac:dyDescent="0.25">
      <c r="I187" s="137"/>
    </row>
    <row r="188" spans="1:14" x14ac:dyDescent="0.25">
      <c r="I188" s="137"/>
    </row>
    <row r="189" spans="1:14" x14ac:dyDescent="0.25">
      <c r="I189" s="137"/>
    </row>
    <row r="190" spans="1:14" x14ac:dyDescent="0.25">
      <c r="I190" s="137"/>
    </row>
    <row r="191" spans="1:14" x14ac:dyDescent="0.25">
      <c r="I191" s="137"/>
    </row>
    <row r="192" spans="1:14" x14ac:dyDescent="0.25">
      <c r="I192" s="137"/>
    </row>
    <row r="193" spans="9:9" x14ac:dyDescent="0.25">
      <c r="I193" s="137"/>
    </row>
  </sheetData>
  <mergeCells count="2">
    <mergeCell ref="C1:G1"/>
    <mergeCell ref="J1:N1"/>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B31B0-6AF8-4C78-A1F3-F737C9145906}">
  <sheetPr codeName="Sheet14"/>
  <dimension ref="A1:N208"/>
  <sheetViews>
    <sheetView workbookViewId="0">
      <selection activeCell="C9" sqref="C9"/>
    </sheetView>
  </sheetViews>
  <sheetFormatPr defaultRowHeight="15" x14ac:dyDescent="0.25"/>
  <cols>
    <col min="1" max="1" width="6.5703125" bestFit="1" customWidth="1"/>
    <col min="2" max="2" width="15.5703125" bestFit="1" customWidth="1"/>
    <col min="3" max="3" width="12.5703125" bestFit="1" customWidth="1"/>
    <col min="4" max="5" width="7.5703125" bestFit="1" customWidth="1"/>
    <col min="6" max="6" width="8.7109375" bestFit="1" customWidth="1"/>
    <col min="7" max="7" width="17.85546875" bestFit="1" customWidth="1"/>
    <col min="9" max="9" width="15.5703125" bestFit="1" customWidth="1"/>
    <col min="10" max="10" width="12.5703125" bestFit="1" customWidth="1"/>
    <col min="11" max="12" width="7.5703125" bestFit="1" customWidth="1"/>
    <col min="13" max="13" width="8.7109375" bestFit="1" customWidth="1"/>
    <col min="14" max="14" width="17.85546875" bestFit="1" customWidth="1"/>
  </cols>
  <sheetData>
    <row r="1" spans="1:14" x14ac:dyDescent="0.25">
      <c r="A1" s="132">
        <v>337</v>
      </c>
      <c r="B1" s="132" t="s">
        <v>33</v>
      </c>
      <c r="C1" s="239" t="str">
        <f>'Adj-Mixed'!A17</f>
        <v>High energy diet</v>
      </c>
      <c r="D1" s="239"/>
      <c r="E1" s="239"/>
      <c r="F1" s="239"/>
      <c r="G1" s="239"/>
      <c r="I1" s="120" t="str">
        <f>B1</f>
        <v>Gilts</v>
      </c>
      <c r="J1" s="240" t="s">
        <v>84</v>
      </c>
      <c r="K1" s="241"/>
      <c r="L1" s="241"/>
      <c r="M1" s="241"/>
      <c r="N1" s="242"/>
    </row>
    <row r="2" spans="1:14" ht="15" customHeight="1" x14ac:dyDescent="0.25">
      <c r="A2" s="133" t="s">
        <v>13</v>
      </c>
      <c r="B2" s="133" t="s">
        <v>83</v>
      </c>
      <c r="C2" s="132" t="s">
        <v>15</v>
      </c>
      <c r="D2" s="132" t="s">
        <v>79</v>
      </c>
      <c r="E2" s="132" t="s">
        <v>80</v>
      </c>
      <c r="F2" s="132" t="s">
        <v>81</v>
      </c>
      <c r="G2" s="132" t="s">
        <v>82</v>
      </c>
      <c r="I2" s="134" t="str">
        <f>B2</f>
        <v>Body Weight, kg</v>
      </c>
      <c r="J2" s="120" t="str">
        <f>C2</f>
        <v>Est. ADG, g/d</v>
      </c>
      <c r="K2" s="120" t="str">
        <f t="shared" ref="K2:N2" si="0">D2</f>
        <v>Est. G:F</v>
      </c>
      <c r="L2" s="120" t="str">
        <f t="shared" si="0"/>
        <v>Est. F:G</v>
      </c>
      <c r="M2" s="120" t="str">
        <f t="shared" si="0"/>
        <v>Est. ADFI</v>
      </c>
      <c r="N2" s="120" t="str">
        <f t="shared" si="0"/>
        <v>Ac. Feed intake, kg</v>
      </c>
    </row>
    <row r="3" spans="1:14" ht="15" customHeight="1" x14ac:dyDescent="0.25">
      <c r="A3" s="121">
        <f>'I-Mixed'!$C$5</f>
        <v>21</v>
      </c>
      <c r="B3" s="136">
        <f>IF(A3&gt;200,"",IF($C$1='Adj-Mixed'!$A$21,VLOOKUP(A3,'337'!$A$6:$AB$188,3,FALSE),IF($C$1='Adj-Mixed'!$A$20,VLOOKUP(A3,'337'!$A$6:$AB$188,12,FALSE),IF($C$1='Adj-Mixed'!$A$19,VLOOKUP(A3,'337'!$A$6:$AB$188,21,FALSE)))))</f>
        <v>5.965835769993987</v>
      </c>
      <c r="C3" s="23"/>
      <c r="D3" s="23"/>
      <c r="E3" s="23"/>
      <c r="F3" s="126"/>
      <c r="G3" s="126"/>
      <c r="I3" s="136">
        <f>IF(A3&gt;200,"",'E-Mixed'!I3*'Adj-Gilts'!B12)</f>
        <v>6.0580105212632942</v>
      </c>
      <c r="J3" s="23"/>
      <c r="K3" s="23"/>
      <c r="L3" s="23"/>
      <c r="M3" s="126"/>
      <c r="N3" s="126"/>
    </row>
    <row r="4" spans="1:14" ht="15" customHeight="1" x14ac:dyDescent="0.25">
      <c r="A4" s="121">
        <f>A3+1</f>
        <v>22</v>
      </c>
      <c r="B4" s="136">
        <f>IF(A4&gt;200,"",IF($C$1='Adj-Mixed'!$A$21,VLOOKUP(A4,'337'!$A$6:$AB$188,3,FALSE),IF($C$1='Adj-Mixed'!$A$20,VLOOKUP(A4,'337'!$A$6:$AB$188,12,FALSE),IF($C$1='Adj-Mixed'!$A$19,VLOOKUP(A4,'337'!$A$6:$AB$188,21,FALSE)))))</f>
        <v>6.0470384576507206</v>
      </c>
      <c r="C4" s="26">
        <f>IF(A4&gt;200,"",(B4-B3)*1000)</f>
        <v>81.202687656733559</v>
      </c>
      <c r="D4" s="27">
        <f>IF(A4&gt;200,"",1/E4)</f>
        <v>1.0033408808412787</v>
      </c>
      <c r="E4" s="27">
        <f>IF(A4&gt;200,"",IF($C$1='Adj-Mixed'!$A$21,VLOOKUP(A4,'337'!$A$7:$AB$188,9,FALSE),IF($C$1='Adj-Mixed'!$A$20,VLOOKUP(A4,'337'!$A$7:$AB$188,18,FALSE),IF($C$1='Adj-Mixed'!$A$19,VLOOKUP(A4,'337'!$A$7:$AB$188,27,FALSE)))))</f>
        <v>0.9966702434784902</v>
      </c>
      <c r="F4" s="27">
        <f t="shared" ref="F4:F67" si="1">IF(A4&gt;200,"",(E4*C4)/1000)</f>
        <v>8.0932302477944432E-2</v>
      </c>
      <c r="G4" s="28">
        <f>IF(A4&gt;200,"",F4)</f>
        <v>8.0932302477944432E-2</v>
      </c>
      <c r="I4" s="136">
        <f>IF(A4&gt;200,"",I3+(J4/1000))</f>
        <v>6.1475270980272505</v>
      </c>
      <c r="J4" s="26">
        <f>IF(A4&gt;200,"",C4*'Adj-Gilts'!$C$6)</f>
        <v>89.516576763955968</v>
      </c>
      <c r="K4" s="27">
        <f>IF(A4&gt;200,"",D4*'Adj-Gilts'!$C$7)</f>
        <v>0.89077572410649619</v>
      </c>
      <c r="L4" s="1">
        <f t="shared" ref="L4:L67" si="2">IF(A4&gt;200,"",1/K4)</f>
        <v>1.1226170324781388</v>
      </c>
      <c r="M4" s="27">
        <f t="shared" ref="M4:M67" si="3">IF(A4&gt;200,"",(J4/1000)/K4)</f>
        <v>0.10049283376435376</v>
      </c>
      <c r="N4" s="31">
        <f>IF(A4&gt;200,"",M4)</f>
        <v>0.10049283376435376</v>
      </c>
    </row>
    <row r="5" spans="1:14" ht="15" customHeight="1" x14ac:dyDescent="0.25">
      <c r="A5" s="121">
        <f t="shared" ref="A5:A68" si="4">A4+1</f>
        <v>23</v>
      </c>
      <c r="B5" s="136">
        <f>IF(A5&gt;200,"",IF($C$1='Adj-Mixed'!$A$21,VLOOKUP(A5,'337'!$A$6:$AB$188,3,FALSE),IF($C$1='Adj-Mixed'!$A$20,VLOOKUP(A5,'337'!$A$6:$AB$188,12,FALSE),IF($C$1='Adj-Mixed'!$A$19,VLOOKUP(A5,'337'!$A$6:$AB$188,21,FALSE)))))</f>
        <v>6.1519939918419846</v>
      </c>
      <c r="C5" s="26">
        <f t="shared" ref="C5" si="5">IF(A5&gt;200,"",(B5-B4)*1000)</f>
        <v>104.95553419126402</v>
      </c>
      <c r="D5" s="27">
        <f t="shared" ref="D5:D68" si="6">IF(A5&gt;200,"",1/E5)</f>
        <v>0.99369337237166022</v>
      </c>
      <c r="E5" s="27">
        <f>IF(A5&gt;200,"",IF($C$1='Adj-Mixed'!$A$21,VLOOKUP(A5,'337'!$A$7:$AB$188,9,FALSE),IF($C$1='Adj-Mixed'!$A$20,VLOOKUP(A5,'337'!$A$7:$AB$188,18,FALSE),IF($C$1='Adj-Mixed'!$A$19,VLOOKUP(A5,'337'!$A$7:$AB$188,27,FALSE)))))</f>
        <v>1.0063466536093399</v>
      </c>
      <c r="F5" s="27">
        <f t="shared" si="1"/>
        <v>0.10562165061115922</v>
      </c>
      <c r="G5" s="28">
        <f>IF(A5&gt;200,"",F5+G4)</f>
        <v>0.18655395308910366</v>
      </c>
      <c r="I5" s="136">
        <f t="shared" ref="I5:I68" si="7">IF(A5&gt;200,"",I4+(J5/1000))</f>
        <v>6.2632284424575069</v>
      </c>
      <c r="J5" s="26">
        <f>IF(A5&gt;200,"",C5*'Adj-Gilts'!$C$6)</f>
        <v>115.70134443025678</v>
      </c>
      <c r="K5" s="27">
        <f>IF(A5&gt;200,"",D5*'Adj-Gilts'!$C$7)</f>
        <v>0.88221057291317262</v>
      </c>
      <c r="L5" s="1">
        <f t="shared" si="2"/>
        <v>1.1335162269682073</v>
      </c>
      <c r="M5" s="27">
        <f t="shared" si="3"/>
        <v>0.13114935139373368</v>
      </c>
      <c r="N5" s="31">
        <f>IF(A5&gt;200,"",N4+M5)</f>
        <v>0.23164218515808743</v>
      </c>
    </row>
    <row r="6" spans="1:14" ht="15" customHeight="1" x14ac:dyDescent="0.25">
      <c r="A6" s="121">
        <f t="shared" si="4"/>
        <v>24</v>
      </c>
      <c r="B6" s="136">
        <f>IF(A6&gt;200,"",IF($C$1='Adj-Mixed'!$A$21,VLOOKUP(A6,'337'!$A$6:$AB$188,3,FALSE),IF($C$1='Adj-Mixed'!$A$20,VLOOKUP(A6,'337'!$A$6:$AB$188,12,FALSE),IF($C$1='Adj-Mixed'!$A$19,VLOOKUP(A6,'337'!$A$6:$AB$188,21,FALSE)))))</f>
        <v>6.280136828602668</v>
      </c>
      <c r="C6" s="135">
        <f t="shared" ref="C6:C68" si="8">IF(A6&gt;200,"",(B6-B5)*1000)</f>
        <v>128.14283676068339</v>
      </c>
      <c r="D6" s="27">
        <f t="shared" si="6"/>
        <v>0.98422962596811137</v>
      </c>
      <c r="E6" s="27">
        <f>IF(A6&gt;200,"",IF($C$1='Adj-Mixed'!$A$21,VLOOKUP(A6,'337'!$A$7:$AB$188,9,FALSE),IF($C$1='Adj-Mixed'!$A$20,VLOOKUP(A6,'337'!$A$7:$AB$188,18,FALSE),IF($C$1='Adj-Mixed'!$A$19,VLOOKUP(A6,'337'!$A$7:$AB$188,27,FALSE)))))</f>
        <v>1.0160230637402086</v>
      </c>
      <c r="F6" s="27">
        <f t="shared" si="1"/>
        <v>0.13019607760195098</v>
      </c>
      <c r="G6" s="28">
        <f t="shared" ref="G6:G69" si="9">IF(A6&gt;200,"",F6+G5)</f>
        <v>0.31675003069105467</v>
      </c>
      <c r="I6" s="136">
        <f t="shared" si="7"/>
        <v>6.404491107704863</v>
      </c>
      <c r="J6" s="26">
        <f>IF(A6&gt;200,"",C6*'Adj-Gilts'!$C$6)</f>
        <v>141.26266524735641</v>
      </c>
      <c r="K6" s="27">
        <f>IF(A6&gt;200,"",D6*'Adj-Gilts'!$C$7)</f>
        <v>0.87380856745684854</v>
      </c>
      <c r="L6" s="1">
        <f t="shared" si="2"/>
        <v>1.1444154214582969</v>
      </c>
      <c r="M6" s="27">
        <f t="shared" si="3"/>
        <v>0.16166317258537571</v>
      </c>
      <c r="N6" s="31">
        <f t="shared" ref="N6:N69" si="10">IF(A6&gt;200,"",N5+M6)</f>
        <v>0.39330535774346315</v>
      </c>
    </row>
    <row r="7" spans="1:14" ht="15" customHeight="1" x14ac:dyDescent="0.25">
      <c r="A7" s="121">
        <f t="shared" si="4"/>
        <v>25</v>
      </c>
      <c r="B7" s="136">
        <f>IF(A7&gt;200,"",IF($C$1='Adj-Mixed'!$A$21,VLOOKUP(A7,'337'!$A$6:$AB$188,3,FALSE),IF($C$1='Adj-Mixed'!$A$20,VLOOKUP(A7,'337'!$A$6:$AB$188,12,FALSE),IF($C$1='Adj-Mixed'!$A$19,VLOOKUP(A7,'337'!$A$6:$AB$188,21,FALSE)))))</f>
        <v>6.4309014239676667</v>
      </c>
      <c r="C7" s="135">
        <f t="shared" si="8"/>
        <v>150.76459536499874</v>
      </c>
      <c r="D7" s="27">
        <f t="shared" si="6"/>
        <v>0.97494444081747833</v>
      </c>
      <c r="E7" s="27">
        <f>IF(A7&gt;200,"",IF($C$1='Adj-Mixed'!$A$21,VLOOKUP(A7,'337'!$A$7:$AB$188,9,FALSE),IF($C$1='Adj-Mixed'!$A$20,VLOOKUP(A7,'337'!$A$7:$AB$188,18,FALSE),IF($C$1='Adj-Mixed'!$A$19,VLOOKUP(A7,'337'!$A$7:$AB$188,27,FALSE)))))</f>
        <v>1.0256994738710576</v>
      </c>
      <c r="F7" s="27">
        <f t="shared" si="1"/>
        <v>0.1546391661442621</v>
      </c>
      <c r="G7" s="28">
        <f t="shared" si="9"/>
        <v>0.47138919683531677</v>
      </c>
      <c r="I7" s="136">
        <f t="shared" si="7"/>
        <v>6.5706916469201255</v>
      </c>
      <c r="J7" s="26">
        <f>IF(A7&gt;200,"",C7*'Adj-Gilts'!$C$6)</f>
        <v>166.20053921526264</v>
      </c>
      <c r="K7" s="27">
        <f>IF(A7&gt;200,"",D7*'Adj-Gilts'!$C$7)</f>
        <v>0.86556509040537732</v>
      </c>
      <c r="L7" s="1">
        <f t="shared" si="2"/>
        <v>1.1553146159483647</v>
      </c>
      <c r="M7" s="27">
        <f t="shared" si="3"/>
        <v>0.19201391213389227</v>
      </c>
      <c r="N7" s="31">
        <f t="shared" si="10"/>
        <v>0.58531926987735539</v>
      </c>
    </row>
    <row r="8" spans="1:14" ht="15" customHeight="1" x14ac:dyDescent="0.25">
      <c r="A8" s="121">
        <f t="shared" si="4"/>
        <v>26</v>
      </c>
      <c r="B8" s="136">
        <f>IF(A8&gt;200,"",IF($C$1='Adj-Mixed'!$A$21,VLOOKUP(A8,'337'!$A$6:$AB$188,3,FALSE),IF($C$1='Adj-Mixed'!$A$20,VLOOKUP(A8,'337'!$A$6:$AB$188,12,FALSE),IF($C$1='Adj-Mixed'!$A$19,VLOOKUP(A8,'337'!$A$6:$AB$188,21,FALSE)))))</f>
        <v>6.6037222339718697</v>
      </c>
      <c r="C8" s="135">
        <f t="shared" si="8"/>
        <v>172.82081000420303</v>
      </c>
      <c r="D8" s="27">
        <f t="shared" si="6"/>
        <v>0.95688991413566415</v>
      </c>
      <c r="E8" s="27">
        <f>IF(A8&gt;200,"",IF($C$1='Adj-Mixed'!$A$21,VLOOKUP(A8,'337'!$A$7:$AB$188,9,FALSE),IF($C$1='Adj-Mixed'!$A$20,VLOOKUP(A8,'337'!$A$7:$AB$188,18,FALSE),IF($C$1='Adj-Mixed'!$A$19,VLOOKUP(A8,'337'!$A$7:$AB$188,27,FALSE)))))</f>
        <v>1.0450522941327856</v>
      </c>
      <c r="F8" s="27">
        <f t="shared" si="1"/>
        <v>0.18060678396877861</v>
      </c>
      <c r="G8" s="28">
        <f t="shared" si="9"/>
        <v>0.65199598080409538</v>
      </c>
      <c r="I8" s="136">
        <f t="shared" si="7"/>
        <v>6.7612066132540933</v>
      </c>
      <c r="J8" s="26">
        <f>IF(A8&gt;200,"",C8*'Adj-Gilts'!$C$6)</f>
        <v>190.51496633396769</v>
      </c>
      <c r="K8" s="27">
        <f>IF(A8&gt;200,"",D8*'Adj-Gilts'!$C$7)</f>
        <v>0.84953610724971418</v>
      </c>
      <c r="L8" s="1">
        <f t="shared" si="2"/>
        <v>1.1771130049285334</v>
      </c>
      <c r="M8" s="27">
        <f t="shared" si="3"/>
        <v>0.22425764450523511</v>
      </c>
      <c r="N8" s="31">
        <f t="shared" si="10"/>
        <v>0.8095769143825905</v>
      </c>
    </row>
    <row r="9" spans="1:14" ht="15" customHeight="1" x14ac:dyDescent="0.25">
      <c r="A9" s="121">
        <f t="shared" si="4"/>
        <v>27</v>
      </c>
      <c r="B9" s="136">
        <f>IF(A9&gt;200,"",IF($C$1='Adj-Mixed'!$A$21,VLOOKUP(A9,'337'!$A$6:$AB$188,3,FALSE),IF($C$1='Adj-Mixed'!$A$20,VLOOKUP(A9,'337'!$A$6:$AB$188,12,FALSE),IF($C$1='Adj-Mixed'!$A$19,VLOOKUP(A9,'337'!$A$6:$AB$188,21,FALSE)))))</f>
        <v>6.7980337146501713</v>
      </c>
      <c r="C9" s="135">
        <f t="shared" si="8"/>
        <v>194.31148067830151</v>
      </c>
      <c r="D9" s="27">
        <f t="shared" si="6"/>
        <v>0.94444487340448513</v>
      </c>
      <c r="E9" s="27">
        <f>IF(A9&gt;200,"",IF($C$1='Adj-Mixed'!$A$21,VLOOKUP(A9,'337'!$A$7:$AB$188,9,FALSE),IF($C$1='Adj-Mixed'!$A$20,VLOOKUP(A9,'337'!$A$7:$AB$188,18,FALSE),IF($C$1='Adj-Mixed'!$A$19,VLOOKUP(A9,'337'!$A$7:$AB$188,27,FALSE)))))</f>
        <v>1.0588230485017645</v>
      </c>
      <c r="F9" s="27">
        <f t="shared" si="1"/>
        <v>0.2057414743306909</v>
      </c>
      <c r="G9" s="28">
        <f t="shared" si="9"/>
        <v>0.85773745513478628</v>
      </c>
      <c r="I9" s="136">
        <f t="shared" si="7"/>
        <v>6.9754125598575705</v>
      </c>
      <c r="J9" s="26">
        <f>IF(A9&gt;200,"",C9*'Adj-Gilts'!$C$6)</f>
        <v>214.2059466034774</v>
      </c>
      <c r="K9" s="27">
        <f>IF(A9&gt;200,"",D9*'Adj-Gilts'!$C$7)</f>
        <v>0.8384872798964863</v>
      </c>
      <c r="L9" s="1">
        <f t="shared" si="2"/>
        <v>1.1926239359569688</v>
      </c>
      <c r="M9" s="27">
        <f t="shared" si="3"/>
        <v>0.25546713914362745</v>
      </c>
      <c r="N9" s="31">
        <f t="shared" si="10"/>
        <v>1.065044053526218</v>
      </c>
    </row>
    <row r="10" spans="1:14" ht="15" customHeight="1" x14ac:dyDescent="0.25">
      <c r="A10" s="121">
        <f t="shared" si="4"/>
        <v>28</v>
      </c>
      <c r="B10" s="136">
        <f>IF(A10&gt;200,"",IF($C$1='Adj-Mixed'!$A$21,VLOOKUP(A10,'337'!$A$6:$AB$188,3,FALSE),IF($C$1='Adj-Mixed'!$A$20,VLOOKUP(A10,'337'!$A$6:$AB$188,12,FALSE),IF($C$1='Adj-Mixed'!$A$19,VLOOKUP(A10,'337'!$A$6:$AB$188,21,FALSE)))))</f>
        <v>7.0132703220374628</v>
      </c>
      <c r="C10" s="135">
        <f t="shared" si="8"/>
        <v>215.23660738729154</v>
      </c>
      <c r="D10" s="27">
        <f t="shared" si="6"/>
        <v>0.93225997440604125</v>
      </c>
      <c r="E10" s="27">
        <f>IF(A10&gt;200,"",IF($C$1='Adj-Mixed'!$A$21,VLOOKUP(A10,'337'!$A$7:$AB$188,9,FALSE),IF($C$1='Adj-Mixed'!$A$20,VLOOKUP(A10,'337'!$A$7:$AB$188,18,FALSE),IF($C$1='Adj-Mixed'!$A$19,VLOOKUP(A10,'337'!$A$7:$AB$188,27,FALSE)))))</f>
        <v>1.0726621623298984</v>
      </c>
      <c r="F10" s="27">
        <f t="shared" si="1"/>
        <v>0.23087616469260352</v>
      </c>
      <c r="G10" s="28">
        <f t="shared" si="9"/>
        <v>1.0886136198273899</v>
      </c>
      <c r="I10" s="136">
        <f t="shared" si="7"/>
        <v>7.2126860398813593</v>
      </c>
      <c r="J10" s="26">
        <f>IF(A10&gt;200,"",C10*'Adj-Gilts'!$C$6)</f>
        <v>237.27348002378884</v>
      </c>
      <c r="K10" s="27">
        <f>IF(A10&gt;200,"",D10*'Adj-Gilts'!$C$7)</f>
        <v>0.82766940888598539</v>
      </c>
      <c r="L10" s="1">
        <f t="shared" si="2"/>
        <v>1.2082118648627664</v>
      </c>
      <c r="M10" s="27">
        <f t="shared" si="3"/>
        <v>0.2866766337820203</v>
      </c>
      <c r="N10" s="31">
        <f t="shared" si="10"/>
        <v>1.3517206873082384</v>
      </c>
    </row>
    <row r="11" spans="1:14" ht="15" customHeight="1" x14ac:dyDescent="0.25">
      <c r="A11" s="121">
        <f t="shared" si="4"/>
        <v>29</v>
      </c>
      <c r="B11" s="136">
        <f>IF(A11&gt;200,"",IF($C$1='Adj-Mixed'!$A$21,VLOOKUP(A11,'337'!$A$6:$AB$188,3,FALSE),IF($C$1='Adj-Mixed'!$A$20,VLOOKUP(A11,'337'!$A$6:$AB$188,12,FALSE),IF($C$1='Adj-Mixed'!$A$19,VLOOKUP(A11,'337'!$A$6:$AB$188,21,FALSE)))))</f>
        <v>7.248866512168636</v>
      </c>
      <c r="C11" s="135">
        <f t="shared" si="8"/>
        <v>235.59619013117316</v>
      </c>
      <c r="D11" s="27">
        <f t="shared" si="6"/>
        <v>0.92025859638258212</v>
      </c>
      <c r="E11" s="27">
        <f>IF(A11&gt;200,"",IF($C$1='Adj-Mixed'!$A$21,VLOOKUP(A11,'337'!$A$7:$AB$188,9,FALSE),IF($C$1='Adj-Mixed'!$A$20,VLOOKUP(A11,'337'!$A$7:$AB$188,18,FALSE),IF($C$1='Adj-Mixed'!$A$19,VLOOKUP(A11,'337'!$A$7:$AB$188,27,FALSE)))))</f>
        <v>1.0866510825662168</v>
      </c>
      <c r="F11" s="27">
        <f t="shared" si="1"/>
        <v>0.25601085505451554</v>
      </c>
      <c r="G11" s="28">
        <f t="shared" si="9"/>
        <v>1.3446244748819054</v>
      </c>
      <c r="I11" s="136">
        <f t="shared" si="7"/>
        <v>7.4724036064762611</v>
      </c>
      <c r="J11" s="26">
        <f>IF(A11&gt;200,"",C11*'Adj-Gilts'!$C$6)</f>
        <v>259.717566594902</v>
      </c>
      <c r="K11" s="27">
        <f>IF(A11&gt;200,"",D11*'Adj-Gilts'!$C$7)</f>
        <v>0.8170144695694902</v>
      </c>
      <c r="L11" s="1">
        <f t="shared" si="2"/>
        <v>1.2239685308473551</v>
      </c>
      <c r="M11" s="27">
        <f t="shared" si="3"/>
        <v>0.31788612842041225</v>
      </c>
      <c r="N11" s="31">
        <f t="shared" si="10"/>
        <v>1.6696068157286506</v>
      </c>
    </row>
    <row r="12" spans="1:14" ht="15" customHeight="1" x14ac:dyDescent="0.25">
      <c r="A12" s="121">
        <f t="shared" si="4"/>
        <v>30</v>
      </c>
      <c r="B12" s="136">
        <f>IF(A12&gt;200,"",IF($C$1='Adj-Mixed'!$A$21,VLOOKUP(A12,'337'!$A$6:$AB$188,3,FALSE),IF($C$1='Adj-Mixed'!$A$20,VLOOKUP(A12,'337'!$A$6:$AB$188,12,FALSE),IF($C$1='Adj-Mixed'!$A$19,VLOOKUP(A12,'337'!$A$6:$AB$188,21,FALSE)))))</f>
        <v>7.5042567410785841</v>
      </c>
      <c r="C12" s="135">
        <f t="shared" si="8"/>
        <v>255.39022890994812</v>
      </c>
      <c r="D12" s="27">
        <f t="shared" si="6"/>
        <v>0.90839151846303523</v>
      </c>
      <c r="E12" s="27">
        <f>IF(A12&gt;200,"",IF($C$1='Adj-Mixed'!$A$21,VLOOKUP(A12,'337'!$A$7:$AB$188,9,FALSE),IF($C$1='Adj-Mixed'!$A$20,VLOOKUP(A12,'337'!$A$7:$AB$188,18,FALSE),IF($C$1='Adj-Mixed'!$A$19,VLOOKUP(A12,'337'!$A$7:$AB$188,27,FALSE)))))</f>
        <v>1.1008469142159791</v>
      </c>
      <c r="F12" s="27">
        <f t="shared" si="1"/>
        <v>0.28114554541642894</v>
      </c>
      <c r="G12" s="28">
        <f t="shared" si="9"/>
        <v>1.6257700202983343</v>
      </c>
      <c r="I12" s="136">
        <f t="shared" si="7"/>
        <v>7.7539418127930801</v>
      </c>
      <c r="J12" s="26">
        <f>IF(A12&gt;200,"",C12*'Adj-Gilts'!$C$6)</f>
        <v>281.5382063168189</v>
      </c>
      <c r="K12" s="27">
        <f>IF(A12&gt;200,"",D12*'Adj-Gilts'!$C$7)</f>
        <v>0.80647876318229594</v>
      </c>
      <c r="L12" s="1">
        <f t="shared" si="2"/>
        <v>1.2399582551362989</v>
      </c>
      <c r="M12" s="27">
        <f t="shared" si="3"/>
        <v>0.34909562305880609</v>
      </c>
      <c r="N12" s="31">
        <f t="shared" si="10"/>
        <v>2.0187024387874568</v>
      </c>
    </row>
    <row r="13" spans="1:14" ht="15" customHeight="1" x14ac:dyDescent="0.25">
      <c r="A13" s="121">
        <f t="shared" si="4"/>
        <v>31</v>
      </c>
      <c r="B13" s="136">
        <f>IF(A13&gt;200,"",IF($C$1='Adj-Mixed'!$A$21,VLOOKUP(A13,'337'!$A$6:$AB$188,3,FALSE),IF($C$1='Adj-Mixed'!$A$20,VLOOKUP(A13,'337'!$A$6:$AB$188,12,FALSE),IF($C$1='Adj-Mixed'!$A$19,VLOOKUP(A13,'337'!$A$6:$AB$188,21,FALSE)))))</f>
        <v>7.7788754648021987</v>
      </c>
      <c r="C13" s="135">
        <f t="shared" si="8"/>
        <v>274.61872372361461</v>
      </c>
      <c r="D13" s="27">
        <f t="shared" si="6"/>
        <v>0.89662567689271067</v>
      </c>
      <c r="E13" s="27">
        <f>IF(A13&gt;200,"",IF($C$1='Adj-Mixed'!$A$21,VLOOKUP(A13,'337'!$A$7:$AB$188,9,FALSE),IF($C$1='Adj-Mixed'!$A$20,VLOOKUP(A13,'337'!$A$7:$AB$188,18,FALSE),IF($C$1='Adj-Mixed'!$A$19,VLOOKUP(A13,'337'!$A$7:$AB$188,27,FALSE)))))</f>
        <v>1.1152926196197468</v>
      </c>
      <c r="F13" s="27">
        <f t="shared" si="1"/>
        <v>0.30628023577834163</v>
      </c>
      <c r="G13" s="28">
        <f t="shared" si="9"/>
        <v>1.9320502560766759</v>
      </c>
      <c r="I13" s="136">
        <f t="shared" si="7"/>
        <v>8.0566772119826169</v>
      </c>
      <c r="J13" s="26">
        <f>IF(A13&gt;200,"",C13*'Adj-Gilts'!$C$6)</f>
        <v>302.73539918953747</v>
      </c>
      <c r="K13" s="27">
        <f>IF(A13&gt;200,"",D13*'Adj-Gilts'!$C$7)</f>
        <v>0.79603293540366471</v>
      </c>
      <c r="L13" s="1">
        <f t="shared" si="2"/>
        <v>1.2562294291164027</v>
      </c>
      <c r="M13" s="27">
        <f t="shared" si="3"/>
        <v>0.38030511769719894</v>
      </c>
      <c r="N13" s="31">
        <f t="shared" si="10"/>
        <v>2.3990075564846558</v>
      </c>
    </row>
    <row r="14" spans="1:14" ht="15" customHeight="1" x14ac:dyDescent="0.25">
      <c r="A14" s="121">
        <f t="shared" si="4"/>
        <v>32</v>
      </c>
      <c r="B14" s="136">
        <f>IF(A14&gt;200,"",IF($C$1='Adj-Mixed'!$A$21,VLOOKUP(A14,'337'!$A$6:$AB$188,3,FALSE),IF($C$1='Adj-Mixed'!$A$20,VLOOKUP(A14,'337'!$A$6:$AB$188,12,FALSE),IF($C$1='Adj-Mixed'!$A$19,VLOOKUP(A14,'337'!$A$6:$AB$188,21,FALSE)))))</f>
        <v>8.0721571393743723</v>
      </c>
      <c r="C14" s="135">
        <f t="shared" si="8"/>
        <v>293.28167457217359</v>
      </c>
      <c r="D14" s="27">
        <f t="shared" si="6"/>
        <v>0.88493803821031825</v>
      </c>
      <c r="E14" s="27">
        <f>IF(A14&gt;200,"",IF($C$1='Adj-Mixed'!$A$21,VLOOKUP(A14,'337'!$A$7:$AB$188,9,FALSE),IF($C$1='Adj-Mixed'!$A$20,VLOOKUP(A14,'337'!$A$7:$AB$188,18,FALSE),IF($C$1='Adj-Mixed'!$A$19,VLOOKUP(A14,'337'!$A$7:$AB$188,27,FALSE)))))</f>
        <v>1.1300226194620144</v>
      </c>
      <c r="F14" s="27">
        <f t="shared" si="1"/>
        <v>0.3314149261402537</v>
      </c>
      <c r="G14" s="28">
        <f t="shared" si="9"/>
        <v>2.2634651822169296</v>
      </c>
      <c r="I14" s="136">
        <f t="shared" si="7"/>
        <v>8.3799863571956763</v>
      </c>
      <c r="J14" s="26">
        <f>IF(A14&gt;200,"",C14*'Adj-Gilts'!$C$6)</f>
        <v>323.3091452130588</v>
      </c>
      <c r="K14" s="27">
        <f>IF(A14&gt;200,"",D14*'Adj-Gilts'!$C$7)</f>
        <v>0.78565653690420978</v>
      </c>
      <c r="L14" s="1">
        <f t="shared" si="2"/>
        <v>1.2728208231301508</v>
      </c>
      <c r="M14" s="27">
        <f t="shared" si="3"/>
        <v>0.411514612335591</v>
      </c>
      <c r="N14" s="31">
        <f t="shared" si="10"/>
        <v>2.8105221688202469</v>
      </c>
    </row>
    <row r="15" spans="1:14" ht="15" customHeight="1" x14ac:dyDescent="0.25">
      <c r="A15" s="121">
        <f t="shared" si="4"/>
        <v>33</v>
      </c>
      <c r="B15" s="136">
        <f>IF(A15&gt;200,"",IF($C$1='Adj-Mixed'!$A$21,VLOOKUP(A15,'337'!$A$6:$AB$188,3,FALSE),IF($C$1='Adj-Mixed'!$A$20,VLOOKUP(A15,'337'!$A$6:$AB$188,12,FALSE),IF($C$1='Adj-Mixed'!$A$19,VLOOKUP(A15,'337'!$A$6:$AB$188,21,FALSE)))))</f>
        <v>8.3835362208299973</v>
      </c>
      <c r="C15" s="135">
        <f t="shared" si="8"/>
        <v>311.379081455625</v>
      </c>
      <c r="D15" s="27">
        <f t="shared" si="6"/>
        <v>0.87331206385895088</v>
      </c>
      <c r="E15" s="27">
        <f>IF(A15&gt;200,"",IF($C$1='Adj-Mixed'!$A$21,VLOOKUP(A15,'337'!$A$7:$AB$188,9,FALSE),IF($C$1='Adj-Mixed'!$A$20,VLOOKUP(A15,'337'!$A$7:$AB$188,18,FALSE),IF($C$1='Adj-Mixed'!$A$19,VLOOKUP(A15,'337'!$A$7:$AB$188,27,FALSE)))))</f>
        <v>1.1450660552898426</v>
      </c>
      <c r="F15" s="27">
        <f t="shared" si="1"/>
        <v>0.3565496165021671</v>
      </c>
      <c r="G15" s="28">
        <f t="shared" si="9"/>
        <v>2.6200147987190965</v>
      </c>
      <c r="I15" s="136">
        <f t="shared" si="7"/>
        <v>8.7232458015830598</v>
      </c>
      <c r="J15" s="26">
        <f>IF(A15&gt;200,"",C15*'Adj-Gilts'!$C$6)</f>
        <v>343.25944438738281</v>
      </c>
      <c r="K15" s="27">
        <f>IF(A15&gt;200,"",D15*'Adj-Gilts'!$C$7)</f>
        <v>0.77533488459338251</v>
      </c>
      <c r="L15" s="1">
        <f t="shared" si="2"/>
        <v>1.289765261270865</v>
      </c>
      <c r="M15" s="27">
        <f t="shared" si="3"/>
        <v>0.44272410697398479</v>
      </c>
      <c r="N15" s="31">
        <f t="shared" si="10"/>
        <v>3.2532462757942318</v>
      </c>
    </row>
    <row r="16" spans="1:14" ht="15" customHeight="1" x14ac:dyDescent="0.25">
      <c r="A16" s="121">
        <f t="shared" si="4"/>
        <v>34</v>
      </c>
      <c r="B16" s="136">
        <f>IF(A16&gt;200,"",IF($C$1='Adj-Mixed'!$A$21,VLOOKUP(A16,'337'!$A$6:$AB$188,3,FALSE),IF($C$1='Adj-Mixed'!$A$20,VLOOKUP(A16,'337'!$A$6:$AB$188,12,FALSE),IF($C$1='Adj-Mixed'!$A$19,VLOOKUP(A16,'337'!$A$6:$AB$188,21,FALSE)))))</f>
        <v>8.7124471652039635</v>
      </c>
      <c r="C16" s="135">
        <f t="shared" si="8"/>
        <v>328.91094437396617</v>
      </c>
      <c r="D16" s="27">
        <f t="shared" si="6"/>
        <v>0.86173557167257375</v>
      </c>
      <c r="E16" s="27">
        <f>IF(A16&gt;200,"",IF($C$1='Adj-Mixed'!$A$21,VLOOKUP(A16,'337'!$A$7:$AB$188,9,FALSE),IF($C$1='Adj-Mixed'!$A$20,VLOOKUP(A16,'337'!$A$7:$AB$188,18,FALSE),IF($C$1='Adj-Mixed'!$A$19,VLOOKUP(A16,'337'!$A$7:$AB$188,27,FALSE)))))</f>
        <v>1.1604487883203705</v>
      </c>
      <c r="F16" s="27">
        <f t="shared" si="1"/>
        <v>0.38168430686407784</v>
      </c>
      <c r="G16" s="28">
        <f t="shared" si="9"/>
        <v>3.0016991055831745</v>
      </c>
      <c r="I16" s="136">
        <f t="shared" si="7"/>
        <v>9.0858320982955671</v>
      </c>
      <c r="J16" s="26">
        <f>IF(A16&gt;200,"",C16*'Adj-Gilts'!$C$6)</f>
        <v>362.58629671250662</v>
      </c>
      <c r="K16" s="27">
        <f>IF(A16&gt;200,"",D16*'Adj-Gilts'!$C$7)</f>
        <v>0.76505716302652393</v>
      </c>
      <c r="L16" s="1">
        <f t="shared" si="2"/>
        <v>1.3070918727746501</v>
      </c>
      <c r="M16" s="27">
        <f t="shared" si="3"/>
        <v>0.4739336016123753</v>
      </c>
      <c r="N16" s="31">
        <f t="shared" si="10"/>
        <v>3.7271798774066069</v>
      </c>
    </row>
    <row r="17" spans="1:14" ht="15" customHeight="1" x14ac:dyDescent="0.25">
      <c r="A17" s="121">
        <f t="shared" si="4"/>
        <v>35</v>
      </c>
      <c r="B17" s="136">
        <f>IF(A17&gt;200,"",IF($C$1='Adj-Mixed'!$A$21,VLOOKUP(A17,'337'!$A$6:$AB$188,3,FALSE),IF($C$1='Adj-Mixed'!$A$20,VLOOKUP(A17,'337'!$A$6:$AB$188,12,FALSE),IF($C$1='Adj-Mixed'!$A$19,VLOOKUP(A17,'337'!$A$6:$AB$188,21,FALSE)))))</f>
        <v>9.0583244285311668</v>
      </c>
      <c r="C17" s="135">
        <f t="shared" si="8"/>
        <v>345.87726332720337</v>
      </c>
      <c r="D17" s="27">
        <f t="shared" si="6"/>
        <v>0.85019939011123702</v>
      </c>
      <c r="E17" s="27">
        <f>IF(A17&gt;200,"",IF($C$1='Adj-Mixed'!$A$21,VLOOKUP(A17,'337'!$A$7:$AB$188,9,FALSE),IF($C$1='Adj-Mixed'!$A$20,VLOOKUP(A17,'337'!$A$7:$AB$188,18,FALSE),IF($C$1='Adj-Mixed'!$A$19,VLOOKUP(A17,'337'!$A$7:$AB$188,27,FALSE)))))</f>
        <v>1.1761946804844963</v>
      </c>
      <c r="F17" s="27">
        <f t="shared" si="1"/>
        <v>0.40681899722599196</v>
      </c>
      <c r="G17" s="28">
        <f t="shared" si="9"/>
        <v>3.4085181028091665</v>
      </c>
      <c r="I17" s="136">
        <f t="shared" si="7"/>
        <v>9.467121800484005</v>
      </c>
      <c r="J17" s="26">
        <f>IF(A17&gt;200,"",C17*'Adj-Gilts'!$C$6)</f>
        <v>381.28970218843705</v>
      </c>
      <c r="K17" s="27">
        <f>IF(A17&gt;200,"",D17*'Adj-Gilts'!$C$7)</f>
        <v>0.75481522962188941</v>
      </c>
      <c r="L17" s="1">
        <f t="shared" si="2"/>
        <v>1.3248275349464416</v>
      </c>
      <c r="M17" s="27">
        <f t="shared" si="3"/>
        <v>0.50514309625076992</v>
      </c>
      <c r="N17" s="31">
        <f t="shared" si="10"/>
        <v>4.2323229736573769</v>
      </c>
    </row>
    <row r="18" spans="1:14" ht="15" customHeight="1" x14ac:dyDescent="0.25">
      <c r="A18" s="121">
        <f t="shared" si="4"/>
        <v>36</v>
      </c>
      <c r="B18" s="136">
        <f>IF(A18&gt;200,"",IF($C$1='Adj-Mixed'!$A$21,VLOOKUP(A18,'337'!$A$6:$AB$188,3,FALSE),IF($C$1='Adj-Mixed'!$A$20,VLOOKUP(A18,'337'!$A$6:$AB$188,12,FALSE),IF($C$1='Adj-Mixed'!$A$19,VLOOKUP(A18,'337'!$A$6:$AB$188,21,FALSE)))))</f>
        <v>9.4206024668464945</v>
      </c>
      <c r="C18" s="135">
        <f t="shared" si="8"/>
        <v>362.27803831532765</v>
      </c>
      <c r="D18" s="27">
        <f t="shared" si="6"/>
        <v>0.83869648234361571</v>
      </c>
      <c r="E18" s="27">
        <f>IF(A18&gt;200,"",IF($C$1='Adj-Mixed'!$A$21,VLOOKUP(A18,'337'!$A$7:$AB$188,9,FALSE),IF($C$1='Adj-Mixed'!$A$20,VLOOKUP(A18,'337'!$A$7:$AB$188,18,FALSE),IF($C$1='Adj-Mixed'!$A$19,VLOOKUP(A18,'337'!$A$7:$AB$188,27,FALSE)))))</f>
        <v>1.1923264506912501</v>
      </c>
      <c r="F18" s="27">
        <f t="shared" si="1"/>
        <v>0.43195368758790337</v>
      </c>
      <c r="G18" s="28">
        <f t="shared" si="9"/>
        <v>3.84047179039707</v>
      </c>
      <c r="I18" s="136">
        <f t="shared" si="7"/>
        <v>9.8664914612991694</v>
      </c>
      <c r="J18" s="26">
        <f>IF(A18&gt;200,"",C18*'Adj-Gilts'!$C$6)</f>
        <v>399.36966081516425</v>
      </c>
      <c r="K18" s="27">
        <f>IF(A18&gt;200,"",D18*'Adj-Gilts'!$C$7)</f>
        <v>0.74460283701266805</v>
      </c>
      <c r="L18" s="1">
        <f t="shared" si="2"/>
        <v>1.34299783762842</v>
      </c>
      <c r="M18" s="27">
        <f t="shared" si="3"/>
        <v>0.5363525908891611</v>
      </c>
      <c r="N18" s="31">
        <f t="shared" si="10"/>
        <v>4.7686755645465375</v>
      </c>
    </row>
    <row r="19" spans="1:14" ht="15" customHeight="1" x14ac:dyDescent="0.25">
      <c r="A19" s="121">
        <f t="shared" si="4"/>
        <v>37</v>
      </c>
      <c r="B19" s="136">
        <f>IF(A19&gt;200,"",IF($C$1='Adj-Mixed'!$A$21,VLOOKUP(A19,'337'!$A$6:$AB$188,3,FALSE),IF($C$1='Adj-Mixed'!$A$20,VLOOKUP(A19,'337'!$A$6:$AB$188,12,FALSE),IF($C$1='Adj-Mixed'!$A$19,VLOOKUP(A19,'337'!$A$6:$AB$188,21,FALSE)))))</f>
        <v>9.7987157361848443</v>
      </c>
      <c r="C19" s="135">
        <f t="shared" si="8"/>
        <v>378.11326933834977</v>
      </c>
      <c r="D19" s="27">
        <f t="shared" si="6"/>
        <v>0.82722135932290353</v>
      </c>
      <c r="E19" s="27">
        <f>IF(A19&gt;200,"",IF($C$1='Adj-Mixed'!$A$21,VLOOKUP(A19,'337'!$A$7:$AB$188,9,FALSE),IF($C$1='Adj-Mixed'!$A$20,VLOOKUP(A19,'337'!$A$7:$AB$188,18,FALSE),IF($C$1='Adj-Mixed'!$A$19,VLOOKUP(A19,'337'!$A$7:$AB$188,27,FALSE)))))</f>
        <v>1.2088662710770901</v>
      </c>
      <c r="F19" s="27">
        <f t="shared" si="1"/>
        <v>0.45708837794981833</v>
      </c>
      <c r="G19" s="28">
        <f t="shared" si="9"/>
        <v>4.2975601683468883</v>
      </c>
      <c r="I19" s="136">
        <f t="shared" si="7"/>
        <v>10.283317633891869</v>
      </c>
      <c r="J19" s="26">
        <f>IF(A19&gt;200,"",C19*'Adj-Gilts'!$C$6)</f>
        <v>416.82617259270012</v>
      </c>
      <c r="K19" s="27">
        <f>IF(A19&gt;200,"",D19*'Adj-Gilts'!$C$7)</f>
        <v>0.73441511197009302</v>
      </c>
      <c r="L19" s="1">
        <f t="shared" si="2"/>
        <v>1.3616277547958766</v>
      </c>
      <c r="M19" s="27">
        <f t="shared" si="3"/>
        <v>0.56756208552755671</v>
      </c>
      <c r="N19" s="31">
        <f t="shared" si="10"/>
        <v>5.3362376500740947</v>
      </c>
    </row>
    <row r="20" spans="1:14" ht="15" customHeight="1" x14ac:dyDescent="0.25">
      <c r="A20" s="121">
        <f t="shared" si="4"/>
        <v>38</v>
      </c>
      <c r="B20" s="136">
        <f>IF(A20&gt;200,"",IF($C$1='Adj-Mixed'!$A$21,VLOOKUP(A20,'337'!$A$6:$AB$188,3,FALSE),IF($C$1='Adj-Mixed'!$A$20,VLOOKUP(A20,'337'!$A$6:$AB$188,12,FALSE),IF($C$1='Adj-Mixed'!$A$19,VLOOKUP(A20,'337'!$A$6:$AB$188,21,FALSE)))))</f>
        <v>10.192098692581105</v>
      </c>
      <c r="C20" s="135">
        <f t="shared" si="8"/>
        <v>393.38295639626074</v>
      </c>
      <c r="D20" s="27">
        <f t="shared" si="6"/>
        <v>0.81576967641448939</v>
      </c>
      <c r="E20" s="27">
        <f>IF(A20&gt;200,"",IF($C$1='Adj-Mixed'!$A$21,VLOOKUP(A20,'337'!$A$7:$AB$188,9,FALSE),IF($C$1='Adj-Mixed'!$A$20,VLOOKUP(A20,'337'!$A$7:$AB$188,18,FALSE),IF($C$1='Adj-Mixed'!$A$19,VLOOKUP(A20,'337'!$A$7:$AB$188,27,FALSE)))))</f>
        <v>1.2258361997411436</v>
      </c>
      <c r="F20" s="27">
        <f t="shared" si="1"/>
        <v>0.48222306831172823</v>
      </c>
      <c r="G20" s="28">
        <f t="shared" si="9"/>
        <v>4.7797832366586164</v>
      </c>
      <c r="I20" s="136">
        <f t="shared" si="7"/>
        <v>10.716976871412903</v>
      </c>
      <c r="J20" s="26">
        <f>IF(A20&gt;200,"",C20*'Adj-Gilts'!$C$6)</f>
        <v>433.65923752103475</v>
      </c>
      <c r="K20" s="27">
        <f>IF(A20&gt;200,"",D20*'Adj-Gilts'!$C$7)</f>
        <v>0.72424819728559675</v>
      </c>
      <c r="L20" s="1">
        <f t="shared" si="2"/>
        <v>1.3807421319761526</v>
      </c>
      <c r="M20" s="27">
        <f t="shared" si="3"/>
        <v>0.59877158016594623</v>
      </c>
      <c r="N20" s="31">
        <f t="shared" si="10"/>
        <v>5.9350092302400412</v>
      </c>
    </row>
    <row r="21" spans="1:14" ht="15" customHeight="1" x14ac:dyDescent="0.25">
      <c r="A21" s="121">
        <f t="shared" si="4"/>
        <v>39</v>
      </c>
      <c r="B21" s="136">
        <f>IF(A21&gt;200,"",IF($C$1='Adj-Mixed'!$A$21,VLOOKUP(A21,'337'!$A$6:$AB$188,3,FALSE),IF($C$1='Adj-Mixed'!$A$20,VLOOKUP(A21,'337'!$A$6:$AB$188,12,FALSE),IF($C$1='Adj-Mixed'!$A$19,VLOOKUP(A21,'337'!$A$6:$AB$188,21,FALSE)))))</f>
        <v>10.600185792070169</v>
      </c>
      <c r="C21" s="135">
        <f t="shared" si="8"/>
        <v>408.0870994890642</v>
      </c>
      <c r="D21" s="27">
        <f t="shared" si="6"/>
        <v>0.80433794992295837</v>
      </c>
      <c r="E21" s="27">
        <f>IF(A21&gt;200,"",IF($C$1='Adj-Mixed'!$A$21,VLOOKUP(A21,'337'!$A$7:$AB$188,9,FALSE),IF($C$1='Adj-Mixed'!$A$20,VLOOKUP(A21,'337'!$A$7:$AB$188,18,FALSE),IF($C$1='Adj-Mixed'!$A$19,VLOOKUP(A21,'337'!$A$7:$AB$188,27,FALSE)))))</f>
        <v>1.2432585085607146</v>
      </c>
      <c r="F21" s="27">
        <f t="shared" si="1"/>
        <v>0.50735775867364186</v>
      </c>
      <c r="G21" s="28">
        <f t="shared" si="9"/>
        <v>5.2871409953322583</v>
      </c>
      <c r="I21" s="136">
        <f t="shared" si="7"/>
        <v>11.166845727013076</v>
      </c>
      <c r="J21" s="26">
        <f>IF(A21&gt;200,"",C21*'Adj-Gilts'!$C$6)</f>
        <v>449.86885560017214</v>
      </c>
      <c r="K21" s="27">
        <f>IF(A21&gt;200,"",D21*'Adj-Gilts'!$C$7)</f>
        <v>0.71409900010074512</v>
      </c>
      <c r="L21" s="1">
        <f t="shared" si="2"/>
        <v>1.4003660554893929</v>
      </c>
      <c r="M21" s="27">
        <f t="shared" si="3"/>
        <v>0.62998107480434029</v>
      </c>
      <c r="N21" s="31">
        <f t="shared" si="10"/>
        <v>6.5649903050443816</v>
      </c>
    </row>
    <row r="22" spans="1:14" ht="15" customHeight="1" x14ac:dyDescent="0.25">
      <c r="A22" s="121">
        <f t="shared" si="4"/>
        <v>40</v>
      </c>
      <c r="B22" s="136">
        <f>IF(A22&gt;200,"",IF($C$1='Adj-Mixed'!$A$21,VLOOKUP(A22,'337'!$A$6:$AB$188,3,FALSE),IF($C$1='Adj-Mixed'!$A$20,VLOOKUP(A22,'337'!$A$6:$AB$188,12,FALSE),IF($C$1='Adj-Mixed'!$A$19,VLOOKUP(A22,'337'!$A$6:$AB$188,21,FALSE)))))</f>
        <v>11.022411490686929</v>
      </c>
      <c r="C22" s="135">
        <f t="shared" si="8"/>
        <v>422.22569861676004</v>
      </c>
      <c r="D22" s="27">
        <f t="shared" si="6"/>
        <v>0.79292335390199331</v>
      </c>
      <c r="E22" s="27">
        <f>IF(A22&gt;200,"",IF($C$1='Adj-Mixed'!$A$21,VLOOKUP(A22,'337'!$A$7:$AB$188,9,FALSE),IF($C$1='Adj-Mixed'!$A$20,VLOOKUP(A22,'337'!$A$7:$AB$188,18,FALSE),IF($C$1='Adj-Mixed'!$A$19,VLOOKUP(A22,'337'!$A$7:$AB$188,27,FALSE)))))</f>
        <v>1.2611559428524559</v>
      </c>
      <c r="F22" s="27">
        <f t="shared" si="1"/>
        <v>0.53249244903555693</v>
      </c>
      <c r="G22" s="28">
        <f t="shared" si="9"/>
        <v>5.819633444367815</v>
      </c>
      <c r="I22" s="136">
        <f t="shared" si="7"/>
        <v>11.632300753843188</v>
      </c>
      <c r="J22" s="26">
        <f>IF(A22&gt;200,"",C22*'Adj-Gilts'!$C$6)</f>
        <v>465.45502683011216</v>
      </c>
      <c r="K22" s="27">
        <f>IF(A22&gt;200,"",D22*'Adj-Gilts'!$C$7)</f>
        <v>0.70396501151310498</v>
      </c>
      <c r="L22" s="1">
        <f t="shared" si="2"/>
        <v>1.4205251449224676</v>
      </c>
      <c r="M22" s="27">
        <f t="shared" si="3"/>
        <v>0.66119056944273613</v>
      </c>
      <c r="N22" s="31">
        <f t="shared" si="10"/>
        <v>7.2261808744871177</v>
      </c>
    </row>
    <row r="23" spans="1:14" ht="15" customHeight="1" x14ac:dyDescent="0.25">
      <c r="A23" s="121">
        <f t="shared" si="4"/>
        <v>41</v>
      </c>
      <c r="B23" s="136">
        <f>IF(A23&gt;200,"",IF($C$1='Adj-Mixed'!$A$21,VLOOKUP(A23,'337'!$A$6:$AB$188,3,FALSE),IF($C$1='Adj-Mixed'!$A$20,VLOOKUP(A23,'337'!$A$6:$AB$188,12,FALSE),IF($C$1='Adj-Mixed'!$A$19,VLOOKUP(A23,'337'!$A$6:$AB$188,21,FALSE)))))</f>
        <v>11.458210244466278</v>
      </c>
      <c r="C23" s="135">
        <f t="shared" si="8"/>
        <v>435.79875377934843</v>
      </c>
      <c r="D23" s="27">
        <f t="shared" si="6"/>
        <v>0.78863299856631419</v>
      </c>
      <c r="E23" s="27">
        <f>IF(A23&gt;200,"",IF($C$1='Adj-Mixed'!$A$21,VLOOKUP(A23,'337'!$A$7:$AB$188,9,FALSE),IF($C$1='Adj-Mixed'!$A$20,VLOOKUP(A23,'337'!$A$7:$AB$188,18,FALSE),IF($C$1='Adj-Mixed'!$A$19,VLOOKUP(A23,'337'!$A$7:$AB$188,27,FALSE)))))</f>
        <v>1.2680169379393684</v>
      </c>
      <c r="F23" s="27">
        <f t="shared" si="1"/>
        <v>0.55260020132508214</v>
      </c>
      <c r="G23" s="28">
        <f t="shared" si="9"/>
        <v>6.372233645692897</v>
      </c>
      <c r="I23" s="136">
        <f t="shared" si="7"/>
        <v>12.112718505054042</v>
      </c>
      <c r="J23" s="26">
        <f>IF(A23&gt;200,"",C23*'Adj-Gilts'!$C$6)</f>
        <v>480.41775121085499</v>
      </c>
      <c r="K23" s="27">
        <f>IF(A23&gt;200,"",D23*'Adj-Gilts'!$C$7)</f>
        <v>0.70015599261056682</v>
      </c>
      <c r="L23" s="1">
        <f t="shared" si="2"/>
        <v>1.4282531472328754</v>
      </c>
      <c r="M23" s="27">
        <f t="shared" si="3"/>
        <v>0.6861581651534443</v>
      </c>
      <c r="N23" s="31">
        <f t="shared" si="10"/>
        <v>7.9123390396405622</v>
      </c>
    </row>
    <row r="24" spans="1:14" ht="15" customHeight="1" x14ac:dyDescent="0.25">
      <c r="A24" s="121">
        <f t="shared" si="4"/>
        <v>42</v>
      </c>
      <c r="B24" s="136">
        <f>IF(A24&gt;200,"",IF($C$1='Adj-Mixed'!$A$21,VLOOKUP(A24,'337'!$A$6:$AB$188,3,FALSE),IF($C$1='Adj-Mixed'!$A$20,VLOOKUP(A24,'337'!$A$6:$AB$188,12,FALSE),IF($C$1='Adj-Mixed'!$A$19,VLOOKUP(A24,'337'!$A$6:$AB$188,21,FALSE)))))</f>
        <v>11.907016509443107</v>
      </c>
      <c r="C24" s="135">
        <f t="shared" si="8"/>
        <v>448.8062649768292</v>
      </c>
      <c r="D24" s="27">
        <f t="shared" si="6"/>
        <v>0.78365642059659302</v>
      </c>
      <c r="E24" s="27">
        <f>IF(A24&gt;200,"",IF($C$1='Adj-Mixed'!$A$21,VLOOKUP(A24,'337'!$A$7:$AB$188,9,FALSE),IF($C$1='Adj-Mixed'!$A$20,VLOOKUP(A24,'337'!$A$7:$AB$188,18,FALSE),IF($C$1='Adj-Mixed'!$A$19,VLOOKUP(A24,'337'!$A$7:$AB$188,27,FALSE)))))</f>
        <v>1.2760694275160867</v>
      </c>
      <c r="F24" s="27">
        <f t="shared" si="1"/>
        <v>0.57270795361461557</v>
      </c>
      <c r="G24" s="28">
        <f t="shared" si="9"/>
        <v>6.9449415993075121</v>
      </c>
      <c r="I24" s="136">
        <f t="shared" si="7"/>
        <v>12.607475533796443</v>
      </c>
      <c r="J24" s="26">
        <f>IF(A24&gt;200,"",C24*'Adj-Gilts'!$C$6)</f>
        <v>494.75702874240045</v>
      </c>
      <c r="K24" s="27">
        <f>IF(A24&gt;200,"",D24*'Adj-Gilts'!$C$7)</f>
        <v>0.69573773862610455</v>
      </c>
      <c r="L24" s="1">
        <f t="shared" si="2"/>
        <v>1.4373232102871576</v>
      </c>
      <c r="M24" s="27">
        <f t="shared" si="3"/>
        <v>0.71112576086416257</v>
      </c>
      <c r="N24" s="31">
        <f t="shared" si="10"/>
        <v>8.6234648005047241</v>
      </c>
    </row>
    <row r="25" spans="1:14" ht="15" customHeight="1" x14ac:dyDescent="0.25">
      <c r="A25" s="121">
        <f t="shared" si="4"/>
        <v>43</v>
      </c>
      <c r="B25" s="136">
        <f>IF(A25&gt;200,"",IF($C$1='Adj-Mixed'!$A$21,VLOOKUP(A25,'337'!$A$6:$AB$188,3,FALSE),IF($C$1='Adj-Mixed'!$A$20,VLOOKUP(A25,'337'!$A$6:$AB$188,12,FALSE),IF($C$1='Adj-Mixed'!$A$19,VLOOKUP(A25,'337'!$A$6:$AB$188,21,FALSE)))))</f>
        <v>12.365872299502644</v>
      </c>
      <c r="C25" s="135">
        <f t="shared" si="8"/>
        <v>458.85579005953758</v>
      </c>
      <c r="D25" s="27">
        <f t="shared" si="6"/>
        <v>0.77402772141420173</v>
      </c>
      <c r="E25" s="27">
        <f>IF(A25&gt;200,"",IF($C$1='Adj-Mixed'!$A$21,VLOOKUP(A25,'337'!$A$7:$AB$188,9,FALSE),IF($C$1='Adj-Mixed'!$A$20,VLOOKUP(A25,'337'!$A$7:$AB$188,18,FALSE),IF($C$1='Adj-Mixed'!$A$19,VLOOKUP(A25,'337'!$A$7:$AB$188,27,FALSE)))))</f>
        <v>1.2919433921215786</v>
      </c>
      <c r="F25" s="27">
        <f t="shared" si="1"/>
        <v>0.5928157059041459</v>
      </c>
      <c r="G25" s="28">
        <f t="shared" si="9"/>
        <v>7.5377573052116578</v>
      </c>
      <c r="I25" s="136">
        <f t="shared" si="7"/>
        <v>13.113311002298257</v>
      </c>
      <c r="J25" s="26">
        <f>IF(A25&gt;200,"",C25*'Adj-Gilts'!$C$6)</f>
        <v>505.83546850181364</v>
      </c>
      <c r="K25" s="27">
        <f>IF(A25&gt;200,"",D25*'Adj-Gilts'!$C$7)</f>
        <v>0.68718928649963829</v>
      </c>
      <c r="L25" s="1">
        <f t="shared" si="2"/>
        <v>1.4552031291025174</v>
      </c>
      <c r="M25" s="27">
        <f t="shared" si="3"/>
        <v>0.73609335657487707</v>
      </c>
      <c r="N25" s="31">
        <f t="shared" si="10"/>
        <v>9.3595581570796007</v>
      </c>
    </row>
    <row r="26" spans="1:14" ht="15" customHeight="1" x14ac:dyDescent="0.25">
      <c r="A26" s="121">
        <f t="shared" si="4"/>
        <v>44</v>
      </c>
      <c r="B26" s="136">
        <f>IF(A26&gt;200,"",IF($C$1='Adj-Mixed'!$A$21,VLOOKUP(A26,'337'!$A$6:$AB$188,3,FALSE),IF($C$1='Adj-Mixed'!$A$20,VLOOKUP(A26,'337'!$A$6:$AB$188,12,FALSE),IF($C$1='Adj-Mixed'!$A$19,VLOOKUP(A26,'337'!$A$6:$AB$188,21,FALSE)))))</f>
        <v>12.835002640368169</v>
      </c>
      <c r="C26" s="135">
        <f t="shared" si="8"/>
        <v>469.13034086552409</v>
      </c>
      <c r="D26" s="27">
        <f t="shared" si="6"/>
        <v>0.76539792137844076</v>
      </c>
      <c r="E26" s="27">
        <f>IF(A26&gt;200,"",IF($C$1='Adj-Mixed'!$A$21,VLOOKUP(A26,'337'!$A$7:$AB$188,9,FALSE),IF($C$1='Adj-Mixed'!$A$20,VLOOKUP(A26,'337'!$A$7:$AB$188,18,FALSE),IF($C$1='Adj-Mixed'!$A$19,VLOOKUP(A26,'337'!$A$7:$AB$188,27,FALSE)))))</f>
        <v>1.3065099500127377</v>
      </c>
      <c r="F26" s="27">
        <f t="shared" si="1"/>
        <v>0.61292345819367444</v>
      </c>
      <c r="G26" s="28">
        <f t="shared" si="9"/>
        <v>8.1506807634053331</v>
      </c>
      <c r="I26" s="136">
        <f t="shared" si="7"/>
        <v>13.630472975408233</v>
      </c>
      <c r="J26" s="26">
        <f>IF(A26&gt;200,"",C26*'Adj-Gilts'!$C$6)</f>
        <v>517.16197310997711</v>
      </c>
      <c r="K26" s="27">
        <f>IF(A26&gt;200,"",D26*'Adj-Gilts'!$C$7)</f>
        <v>0.67952766668274844</v>
      </c>
      <c r="L26" s="1">
        <f t="shared" si="2"/>
        <v>1.4716104274042321</v>
      </c>
      <c r="M26" s="27">
        <f t="shared" si="3"/>
        <v>0.76106095228558945</v>
      </c>
      <c r="N26" s="31">
        <f t="shared" si="10"/>
        <v>10.12061910936519</v>
      </c>
    </row>
    <row r="27" spans="1:14" ht="15" customHeight="1" x14ac:dyDescent="0.25">
      <c r="A27" s="121">
        <f t="shared" si="4"/>
        <v>45</v>
      </c>
      <c r="B27" s="136">
        <f>IF(A27&gt;200,"",IF($C$1='Adj-Mixed'!$A$21,VLOOKUP(A27,'337'!$A$6:$AB$188,3,FALSE),IF($C$1='Adj-Mixed'!$A$20,VLOOKUP(A27,'337'!$A$6:$AB$188,12,FALSE),IF($C$1='Adj-Mixed'!$A$19,VLOOKUP(A27,'337'!$A$6:$AB$188,21,FALSE)))))</f>
        <v>13.314637596466351</v>
      </c>
      <c r="C27" s="135">
        <f t="shared" si="8"/>
        <v>479.63495609818273</v>
      </c>
      <c r="D27" s="27">
        <f t="shared" si="6"/>
        <v>0.75767979233135696</v>
      </c>
      <c r="E27" s="27">
        <f>IF(A27&gt;200,"",IF($C$1='Adj-Mixed'!$A$21,VLOOKUP(A27,'337'!$A$7:$AB$188,9,FALSE),IF($C$1='Adj-Mixed'!$A$20,VLOOKUP(A27,'337'!$A$7:$AB$188,18,FALSE),IF($C$1='Adj-Mixed'!$A$19,VLOOKUP(A27,'337'!$A$7:$AB$188,27,FALSE)))))</f>
        <v>1.3198187547315092</v>
      </c>
      <c r="F27" s="27">
        <f t="shared" si="1"/>
        <v>0.63303121048320565</v>
      </c>
      <c r="G27" s="28">
        <f t="shared" si="9"/>
        <v>8.7837119738885381</v>
      </c>
      <c r="I27" s="136">
        <f t="shared" si="7"/>
        <v>14.159215072563184</v>
      </c>
      <c r="J27" s="26">
        <f>IF(A27&gt;200,"",C27*'Adj-Gilts'!$C$6)</f>
        <v>528.74209715494931</v>
      </c>
      <c r="K27" s="27">
        <f>IF(A27&gt;200,"",D27*'Adj-Gilts'!$C$7)</f>
        <v>0.67267543717436951</v>
      </c>
      <c r="L27" s="1">
        <f t="shared" si="2"/>
        <v>1.4866010333312976</v>
      </c>
      <c r="M27" s="27">
        <f t="shared" si="3"/>
        <v>0.78602854799630495</v>
      </c>
      <c r="N27" s="31">
        <f t="shared" si="10"/>
        <v>10.906647657361495</v>
      </c>
    </row>
    <row r="28" spans="1:14" ht="15" customHeight="1" x14ac:dyDescent="0.25">
      <c r="A28" s="121">
        <f t="shared" si="4"/>
        <v>46</v>
      </c>
      <c r="B28" s="136">
        <f>IF(A28&gt;200,"",IF($C$1='Adj-Mixed'!$A$21,VLOOKUP(A28,'337'!$A$6:$AB$188,3,FALSE),IF($C$1='Adj-Mixed'!$A$20,VLOOKUP(A28,'337'!$A$6:$AB$188,12,FALSE),IF($C$1='Adj-Mixed'!$A$19,VLOOKUP(A28,'337'!$A$6:$AB$188,21,FALSE)))))</f>
        <v>13.805012383752274</v>
      </c>
      <c r="C28" s="135">
        <f t="shared" si="8"/>
        <v>490.37478728592276</v>
      </c>
      <c r="D28" s="27">
        <f t="shared" si="6"/>
        <v>0.75079702059752063</v>
      </c>
      <c r="E28" s="27">
        <f>IF(A28&gt;200,"",IF($C$1='Adj-Mixed'!$A$21,VLOOKUP(A28,'337'!$A$7:$AB$188,9,FALSE),IF($C$1='Adj-Mixed'!$A$20,VLOOKUP(A28,'337'!$A$7:$AB$188,18,FALSE),IF($C$1='Adj-Mixed'!$A$19,VLOOKUP(A28,'337'!$A$7:$AB$188,27,FALSE)))))</f>
        <v>1.3319179119865867</v>
      </c>
      <c r="F28" s="27">
        <f t="shared" si="1"/>
        <v>0.65313896277273287</v>
      </c>
      <c r="G28" s="28">
        <f t="shared" si="9"/>
        <v>9.4368509366612709</v>
      </c>
      <c r="I28" s="136">
        <f t="shared" si="7"/>
        <v>14.69979659216451</v>
      </c>
      <c r="J28" s="26">
        <f>IF(A28&gt;200,"",C28*'Adj-Gilts'!$C$6)</f>
        <v>540.58151960132625</v>
      </c>
      <c r="K28" s="27">
        <f>IF(A28&gt;200,"",D28*'Adj-Gilts'!$C$7)</f>
        <v>0.66656484595643062</v>
      </c>
      <c r="L28" s="1">
        <f t="shared" si="2"/>
        <v>1.5002291315935434</v>
      </c>
      <c r="M28" s="27">
        <f t="shared" si="3"/>
        <v>0.81099614370701578</v>
      </c>
      <c r="N28" s="31">
        <f t="shared" si="10"/>
        <v>11.71764380106851</v>
      </c>
    </row>
    <row r="29" spans="1:14" ht="15" customHeight="1" x14ac:dyDescent="0.25">
      <c r="A29" s="121">
        <f t="shared" si="4"/>
        <v>47</v>
      </c>
      <c r="B29" s="136">
        <f>IF(A29&gt;200,"",IF($C$1='Adj-Mixed'!$A$21,VLOOKUP(A29,'337'!$A$6:$AB$188,3,FALSE),IF($C$1='Adj-Mixed'!$A$20,VLOOKUP(A29,'337'!$A$6:$AB$188,12,FALSE),IF($C$1='Adj-Mixed'!$A$19,VLOOKUP(A29,'337'!$A$6:$AB$188,21,FALSE)))))</f>
        <v>14.306367485060804</v>
      </c>
      <c r="C29" s="135">
        <f t="shared" si="8"/>
        <v>501.35510130852981</v>
      </c>
      <c r="D29" s="27">
        <f t="shared" si="6"/>
        <v>0.74136126303600558</v>
      </c>
      <c r="E29" s="27">
        <f>IF(A29&gt;200,"",IF($C$1='Adj-Mixed'!$A$21,VLOOKUP(A29,'337'!$A$7:$AB$188,9,FALSE),IF($C$1='Adj-Mixed'!$A$20,VLOOKUP(A29,'337'!$A$7:$AB$188,18,FALSE),IF($C$1='Adj-Mixed'!$A$19,VLOOKUP(A29,'337'!$A$7:$AB$188,27,FALSE)))))</f>
        <v>1.3488700446862074</v>
      </c>
      <c r="F29" s="27">
        <f t="shared" si="1"/>
        <v>0.67626287790569461</v>
      </c>
      <c r="G29" s="28">
        <f t="shared" si="9"/>
        <v>10.113113814566965</v>
      </c>
      <c r="I29" s="136">
        <f t="shared" si="7"/>
        <v>15.252482638739773</v>
      </c>
      <c r="J29" s="26">
        <f>IF(A29&gt;200,"",C29*'Adj-Gilts'!$C$6)</f>
        <v>552.68604657526237</v>
      </c>
      <c r="K29" s="27">
        <f>IF(A29&gt;200,"",D29*'Adj-Gilts'!$C$7)</f>
        <v>0.65818768926437565</v>
      </c>
      <c r="L29" s="1">
        <f t="shared" si="2"/>
        <v>1.5193234639767439</v>
      </c>
      <c r="M29" s="27">
        <f t="shared" si="3"/>
        <v>0.83970887877433964</v>
      </c>
      <c r="N29" s="31">
        <f t="shared" si="10"/>
        <v>12.55735267984285</v>
      </c>
    </row>
    <row r="30" spans="1:14" ht="15" customHeight="1" x14ac:dyDescent="0.25">
      <c r="A30" s="121">
        <f t="shared" si="4"/>
        <v>48</v>
      </c>
      <c r="B30" s="136">
        <f>IF(A30&gt;200,"",IF($C$1='Adj-Mixed'!$A$21,VLOOKUP(A30,'337'!$A$6:$AB$188,3,FALSE),IF($C$1='Adj-Mixed'!$A$20,VLOOKUP(A30,'337'!$A$6:$AB$188,12,FALSE),IF($C$1='Adj-Mixed'!$A$19,VLOOKUP(A30,'337'!$A$6:$AB$188,21,FALSE)))))</f>
        <v>14.818948768040848</v>
      </c>
      <c r="C30" s="135">
        <f t="shared" si="8"/>
        <v>512.58128298004385</v>
      </c>
      <c r="D30" s="27">
        <f t="shared" si="6"/>
        <v>0.73290100425404048</v>
      </c>
      <c r="E30" s="27">
        <f>IF(A30&gt;200,"",IF($C$1='Adj-Mixed'!$A$21,VLOOKUP(A30,'337'!$A$7:$AB$188,9,FALSE),IF($C$1='Adj-Mixed'!$A$20,VLOOKUP(A30,'337'!$A$7:$AB$188,18,FALSE),IF($C$1='Adj-Mixed'!$A$19,VLOOKUP(A30,'337'!$A$7:$AB$188,27,FALSE)))))</f>
        <v>1.3644407555667324</v>
      </c>
      <c r="F30" s="27">
        <f t="shared" si="1"/>
        <v>0.69938679303865614</v>
      </c>
      <c r="G30" s="28">
        <f t="shared" si="9"/>
        <v>10.812500607605621</v>
      </c>
      <c r="I30" s="136">
        <f t="shared" si="7"/>
        <v>15.817544252951569</v>
      </c>
      <c r="J30" s="26">
        <f>IF(A30&gt;200,"",C30*'Adj-Gilts'!$C$6)</f>
        <v>565.06161421179581</v>
      </c>
      <c r="K30" s="27">
        <f>IF(A30&gt;200,"",D30*'Adj-Gilts'!$C$7)</f>
        <v>0.65067658981000631</v>
      </c>
      <c r="L30" s="1">
        <f t="shared" si="2"/>
        <v>1.5368618076331808</v>
      </c>
      <c r="M30" s="27">
        <f t="shared" si="3"/>
        <v>0.8684216138416635</v>
      </c>
      <c r="N30" s="31">
        <f t="shared" si="10"/>
        <v>13.425774293684514</v>
      </c>
    </row>
    <row r="31" spans="1:14" ht="15" customHeight="1" x14ac:dyDescent="0.25">
      <c r="A31" s="121">
        <f t="shared" si="4"/>
        <v>49</v>
      </c>
      <c r="B31" s="136">
        <f>IF(A31&gt;200,"",IF($C$1='Adj-Mixed'!$A$21,VLOOKUP(A31,'337'!$A$6:$AB$188,3,FALSE),IF($C$1='Adj-Mixed'!$A$20,VLOOKUP(A31,'337'!$A$6:$AB$188,12,FALSE),IF($C$1='Adj-Mixed'!$A$19,VLOOKUP(A31,'337'!$A$6:$AB$188,21,FALSE)))))</f>
        <v>15.343007605730385</v>
      </c>
      <c r="C31" s="135">
        <f t="shared" si="8"/>
        <v>524.05883768953743</v>
      </c>
      <c r="D31" s="27">
        <f t="shared" si="6"/>
        <v>0.72533020170139884</v>
      </c>
      <c r="E31" s="27">
        <f>IF(A31&gt;200,"",IF($C$1='Adj-Mixed'!$A$21,VLOOKUP(A31,'337'!$A$7:$AB$188,9,FALSE),IF($C$1='Adj-Mixed'!$A$20,VLOOKUP(A31,'337'!$A$7:$AB$188,18,FALSE),IF($C$1='Adj-Mixed'!$A$19,VLOOKUP(A31,'337'!$A$7:$AB$188,27,FALSE)))))</f>
        <v>1.3786824230596098</v>
      </c>
      <c r="F31" s="27">
        <f t="shared" si="1"/>
        <v>0.72251070817161422</v>
      </c>
      <c r="G31" s="28">
        <f t="shared" si="9"/>
        <v>11.535011315777234</v>
      </c>
      <c r="I31" s="136">
        <f t="shared" si="7"/>
        <v>16.395258544517571</v>
      </c>
      <c r="J31" s="26">
        <f>IF(A31&gt;200,"",C31*'Adj-Gilts'!$C$6)</f>
        <v>577.71429156600016</v>
      </c>
      <c r="K31" s="27">
        <f>IF(A31&gt;200,"",D31*'Adj-Gilts'!$C$7)</f>
        <v>0.64395515818624749</v>
      </c>
      <c r="L31" s="1">
        <f t="shared" si="2"/>
        <v>1.5529031599289957</v>
      </c>
      <c r="M31" s="27">
        <f t="shared" si="3"/>
        <v>0.8971343489089828</v>
      </c>
      <c r="N31" s="31">
        <f t="shared" si="10"/>
        <v>14.322908642593497</v>
      </c>
    </row>
    <row r="32" spans="1:14" ht="15" customHeight="1" x14ac:dyDescent="0.25">
      <c r="A32" s="121">
        <f t="shared" si="4"/>
        <v>50</v>
      </c>
      <c r="B32" s="136">
        <f>IF(A32&gt;200,"",IF($C$1='Adj-Mixed'!$A$21,VLOOKUP(A32,'337'!$A$6:$AB$188,3,FALSE),IF($C$1='Adj-Mixed'!$A$20,VLOOKUP(A32,'337'!$A$6:$AB$188,12,FALSE),IF($C$1='Adj-Mixed'!$A$19,VLOOKUP(A32,'337'!$A$6:$AB$188,21,FALSE)))))</f>
        <v>15.878800999831359</v>
      </c>
      <c r="C32" s="135">
        <f t="shared" si="8"/>
        <v>535.79339410097407</v>
      </c>
      <c r="D32" s="27">
        <f t="shared" si="6"/>
        <v>0.71857365169872967</v>
      </c>
      <c r="E32" s="27">
        <f>IF(A32&gt;200,"",IF($C$1='Adj-Mixed'!$A$21,VLOOKUP(A32,'337'!$A$7:$AB$188,9,FALSE),IF($C$1='Adj-Mixed'!$A$20,VLOOKUP(A32,'337'!$A$7:$AB$188,18,FALSE),IF($C$1='Adj-Mixed'!$A$19,VLOOKUP(A32,'337'!$A$7:$AB$188,27,FALSE)))))</f>
        <v>1.3916457939084881</v>
      </c>
      <c r="F32" s="27">
        <f t="shared" si="1"/>
        <v>0.74563462330457342</v>
      </c>
      <c r="G32" s="28">
        <f t="shared" si="9"/>
        <v>12.280645939081808</v>
      </c>
      <c r="I32" s="136">
        <f t="shared" si="7"/>
        <v>16.985908828106837</v>
      </c>
      <c r="J32" s="26">
        <f>IF(A32&gt;200,"",C32*'Adj-Gilts'!$C$6)</f>
        <v>590.65028358926713</v>
      </c>
      <c r="K32" s="27">
        <f>IF(A32&gt;200,"",D32*'Adj-Gilts'!$C$7)</f>
        <v>0.63795662784026674</v>
      </c>
      <c r="L32" s="1">
        <f t="shared" si="2"/>
        <v>1.5675046803501234</v>
      </c>
      <c r="M32" s="27">
        <f t="shared" si="3"/>
        <v>0.92584708397630389</v>
      </c>
      <c r="N32" s="31">
        <f t="shared" si="10"/>
        <v>15.248755726569801</v>
      </c>
    </row>
    <row r="33" spans="1:14" ht="15" customHeight="1" x14ac:dyDescent="0.25">
      <c r="A33" s="121">
        <f t="shared" si="4"/>
        <v>51</v>
      </c>
      <c r="B33" s="136">
        <f>IF(A33&gt;200,"",IF($C$1='Adj-Mixed'!$A$21,VLOOKUP(A33,'337'!$A$6:$AB$188,3,FALSE),IF($C$1='Adj-Mixed'!$A$20,VLOOKUP(A33,'337'!$A$6:$AB$188,12,FALSE),IF($C$1='Adj-Mixed'!$A$19,VLOOKUP(A33,'337'!$A$6:$AB$188,21,FALSE)))))</f>
        <v>16.426591706744897</v>
      </c>
      <c r="C33" s="135">
        <f t="shared" si="8"/>
        <v>547.79070691353832</v>
      </c>
      <c r="D33" s="27">
        <f t="shared" si="6"/>
        <v>0.71256536288611527</v>
      </c>
      <c r="E33" s="27">
        <f>IF(A33&gt;200,"",IF($C$1='Adj-Mixed'!$A$21,VLOOKUP(A33,'337'!$A$7:$AB$188,9,FALSE),IF($C$1='Adj-Mixed'!$A$20,VLOOKUP(A33,'337'!$A$7:$AB$188,18,FALSE),IF($C$1='Adj-Mixed'!$A$19,VLOOKUP(A33,'337'!$A$7:$AB$188,27,FALSE)))))</f>
        <v>1.4033800295171288</v>
      </c>
      <c r="F33" s="27">
        <f t="shared" si="1"/>
        <v>0.76875853843753017</v>
      </c>
      <c r="G33" s="28">
        <f t="shared" si="9"/>
        <v>13.049404477519339</v>
      </c>
      <c r="I33" s="136">
        <f t="shared" si="7"/>
        <v>17.589784762279088</v>
      </c>
      <c r="J33" s="26">
        <f>IF(A33&gt;200,"",C33*'Adj-Gilts'!$C$6)</f>
        <v>603.87593417225048</v>
      </c>
      <c r="K33" s="27">
        <f>IF(A33&gt;200,"",D33*'Adj-Gilts'!$C$7)</f>
        <v>0.63262241100539607</v>
      </c>
      <c r="L33" s="1">
        <f t="shared" si="2"/>
        <v>1.5807217427070732</v>
      </c>
      <c r="M33" s="27">
        <f t="shared" si="3"/>
        <v>0.95455981904362164</v>
      </c>
      <c r="N33" s="31">
        <f t="shared" si="10"/>
        <v>16.203315545613421</v>
      </c>
    </row>
    <row r="34" spans="1:14" ht="15" customHeight="1" x14ac:dyDescent="0.25">
      <c r="A34" s="121">
        <f t="shared" si="4"/>
        <v>52</v>
      </c>
      <c r="B34" s="136">
        <f>IF(A34&gt;200,"",IF($C$1='Adj-Mixed'!$A$21,VLOOKUP(A34,'337'!$A$6:$AB$188,3,FALSE),IF($C$1='Adj-Mixed'!$A$20,VLOOKUP(A34,'337'!$A$6:$AB$188,12,FALSE),IF($C$1='Adj-Mixed'!$A$19,VLOOKUP(A34,'337'!$A$6:$AB$188,21,FALSE)))))</f>
        <v>16.9866483664287</v>
      </c>
      <c r="C34" s="135">
        <f t="shared" si="8"/>
        <v>560.05665968380208</v>
      </c>
      <c r="D34" s="27">
        <f t="shared" si="6"/>
        <v>0.7072472147331712</v>
      </c>
      <c r="E34" s="27">
        <f>IF(A34&gt;200,"",IF($C$1='Adj-Mixed'!$A$21,VLOOKUP(A34,'337'!$A$7:$AB$188,9,FALSE),IF($C$1='Adj-Mixed'!$A$20,VLOOKUP(A34,'337'!$A$7:$AB$188,18,FALSE),IF($C$1='Adj-Mixed'!$A$19,VLOOKUP(A34,'337'!$A$7:$AB$188,27,FALSE)))))</f>
        <v>1.4139327510498263</v>
      </c>
      <c r="F34" s="27">
        <f t="shared" si="1"/>
        <v>0.79188245357049458</v>
      </c>
      <c r="G34" s="28">
        <f t="shared" si="9"/>
        <v>13.841286931089833</v>
      </c>
      <c r="I34" s="136">
        <f t="shared" si="7"/>
        <v>18.207182491535068</v>
      </c>
      <c r="J34" s="26">
        <f>IF(A34&gt;200,"",C34*'Adj-Gilts'!$C$6)</f>
        <v>617.39772925597924</v>
      </c>
      <c r="K34" s="27">
        <f>IF(A34&gt;200,"",D34*'Adj-Gilts'!$C$7)</f>
        <v>0.62790090771344187</v>
      </c>
      <c r="L34" s="1">
        <f t="shared" si="2"/>
        <v>1.5926079859345812</v>
      </c>
      <c r="M34" s="27">
        <f t="shared" si="3"/>
        <v>0.98327255411094894</v>
      </c>
      <c r="N34" s="31">
        <f t="shared" si="10"/>
        <v>17.186588099724371</v>
      </c>
    </row>
    <row r="35" spans="1:14" ht="15" customHeight="1" x14ac:dyDescent="0.25">
      <c r="A35" s="121">
        <f t="shared" si="4"/>
        <v>53</v>
      </c>
      <c r="B35" s="136">
        <f>IF(A35&gt;200,"",IF($C$1='Adj-Mixed'!$A$21,VLOOKUP(A35,'337'!$A$6:$AB$188,3,FALSE),IF($C$1='Adj-Mixed'!$A$20,VLOOKUP(A35,'337'!$A$6:$AB$188,12,FALSE),IF($C$1='Adj-Mixed'!$A$19,VLOOKUP(A35,'337'!$A$6:$AB$188,21,FALSE)))))</f>
        <v>17.559245634139707</v>
      </c>
      <c r="C35" s="135">
        <f t="shared" si="8"/>
        <v>572.59726771100713</v>
      </c>
      <c r="D35" s="27">
        <f t="shared" si="6"/>
        <v>0.7025678444966228</v>
      </c>
      <c r="E35" s="27">
        <f>IF(A35&gt;200,"",IF($C$1='Adj-Mixed'!$A$21,VLOOKUP(A35,'337'!$A$7:$AB$188,9,FALSE),IF($C$1='Adj-Mixed'!$A$20,VLOOKUP(A35,'337'!$A$7:$AB$188,18,FALSE),IF($C$1='Adj-Mixed'!$A$19,VLOOKUP(A35,'337'!$A$7:$AB$188,27,FALSE)))))</f>
        <v>1.4233500833168389</v>
      </c>
      <c r="F35" s="27">
        <f t="shared" si="1"/>
        <v>0.81500636870345622</v>
      </c>
      <c r="G35" s="28">
        <f t="shared" si="9"/>
        <v>14.656293299793289</v>
      </c>
      <c r="I35" s="136">
        <f t="shared" si="7"/>
        <v>18.838404791547614</v>
      </c>
      <c r="J35" s="26">
        <f>IF(A35&gt;200,"",C35*'Adj-Gilts'!$C$6)</f>
        <v>631.22230001254695</v>
      </c>
      <c r="K35" s="27">
        <f>IF(A35&gt;200,"",D35*'Adj-Gilts'!$C$7)</f>
        <v>0.6237465176248721</v>
      </c>
      <c r="L35" s="1">
        <f t="shared" si="2"/>
        <v>1.603215363522736</v>
      </c>
      <c r="M35" s="27">
        <f t="shared" si="3"/>
        <v>1.011985289178273</v>
      </c>
      <c r="N35" s="31">
        <f t="shared" si="10"/>
        <v>18.198573388902645</v>
      </c>
    </row>
    <row r="36" spans="1:14" ht="15" customHeight="1" x14ac:dyDescent="0.25">
      <c r="A36" s="121">
        <f t="shared" si="4"/>
        <v>54</v>
      </c>
      <c r="B36" s="136">
        <f>IF(A36&gt;200,"",IF($C$1='Adj-Mixed'!$A$21,VLOOKUP(A36,'337'!$A$6:$AB$188,3,FALSE),IF($C$1='Adj-Mixed'!$A$20,VLOOKUP(A36,'337'!$A$6:$AB$188,12,FALSE),IF($C$1='Adj-Mixed'!$A$19,VLOOKUP(A36,'337'!$A$6:$AB$188,21,FALSE)))))</f>
        <v>18.144664315126771</v>
      </c>
      <c r="C36" s="135">
        <f t="shared" si="8"/>
        <v>585.4186809870647</v>
      </c>
      <c r="D36" s="27">
        <f t="shared" si="6"/>
        <v>0.69848171850730134</v>
      </c>
      <c r="E36" s="27">
        <f>IF(A36&gt;200,"",IF($C$1='Adj-Mixed'!$A$21,VLOOKUP(A36,'337'!$A$7:$AB$188,9,FALSE),IF($C$1='Adj-Mixed'!$A$20,VLOOKUP(A36,'337'!$A$7:$AB$188,18,FALSE),IF($C$1='Adj-Mixed'!$A$19,VLOOKUP(A36,'337'!$A$7:$AB$188,27,FALSE)))))</f>
        <v>1.4316766974761514</v>
      </c>
      <c r="F36" s="27">
        <f t="shared" si="1"/>
        <v>0.83813028383640542</v>
      </c>
      <c r="G36" s="28">
        <f t="shared" si="9"/>
        <v>15.494423583629693</v>
      </c>
      <c r="I36" s="136">
        <f t="shared" si="7"/>
        <v>19.483761217644759</v>
      </c>
      <c r="J36" s="26">
        <f>IF(A36&gt;200,"",C36*'Adj-Gilts'!$C$6)</f>
        <v>645.35642609714625</v>
      </c>
      <c r="K36" s="27">
        <f>IF(A36&gt;200,"",D36*'Adj-Gilts'!$C$7)</f>
        <v>0.62011881550844261</v>
      </c>
      <c r="L36" s="1">
        <f t="shared" si="2"/>
        <v>1.6125941916148576</v>
      </c>
      <c r="M36" s="27">
        <f t="shared" si="3"/>
        <v>1.0406980242455812</v>
      </c>
      <c r="N36" s="31">
        <f t="shared" si="10"/>
        <v>19.239271413148227</v>
      </c>
    </row>
    <row r="37" spans="1:14" ht="15" customHeight="1" x14ac:dyDescent="0.25">
      <c r="A37" s="121">
        <f t="shared" si="4"/>
        <v>55</v>
      </c>
      <c r="B37" s="136">
        <f>IF(A37&gt;200,"",IF($C$1='Adj-Mixed'!$A$21,VLOOKUP(A37,'337'!$A$6:$AB$188,3,FALSE),IF($C$1='Adj-Mixed'!$A$20,VLOOKUP(A37,'337'!$A$6:$AB$188,12,FALSE),IF($C$1='Adj-Mixed'!$A$19,VLOOKUP(A37,'337'!$A$6:$AB$188,21,FALSE)))))</f>
        <v>18.743191502339283</v>
      </c>
      <c r="C37" s="135">
        <f t="shared" si="8"/>
        <v>598.52718721251108</v>
      </c>
      <c r="D37" s="27">
        <f t="shared" si="6"/>
        <v>0.69332963238585466</v>
      </c>
      <c r="E37" s="27">
        <f>IF(A37&gt;200,"",IF($C$1='Adj-Mixed'!$A$21,VLOOKUP(A37,'337'!$A$7:$AB$188,9,FALSE),IF($C$1='Adj-Mixed'!$A$20,VLOOKUP(A37,'337'!$A$7:$AB$188,18,FALSE),IF($C$1='Adj-Mixed'!$A$19,VLOOKUP(A37,'337'!$A$7:$AB$188,27,FALSE)))))</f>
        <v>1.4423153912502558</v>
      </c>
      <c r="F37" s="27">
        <f t="shared" si="1"/>
        <v>0.86326497419832804</v>
      </c>
      <c r="G37" s="28">
        <f t="shared" si="9"/>
        <v>16.35768855782802</v>
      </c>
      <c r="I37" s="136">
        <f t="shared" si="7"/>
        <v>20.14356825661757</v>
      </c>
      <c r="J37" s="26">
        <f>IF(A37&gt;200,"",C37*'Adj-Gilts'!$C$6)</f>
        <v>659.80703897281091</v>
      </c>
      <c r="K37" s="27">
        <f>IF(A37&gt;200,"",D37*'Adj-Gilts'!$C$7)</f>
        <v>0.61554474369185064</v>
      </c>
      <c r="L37" s="1">
        <f t="shared" si="2"/>
        <v>1.6245772711863371</v>
      </c>
      <c r="M37" s="27">
        <f t="shared" si="3"/>
        <v>1.0719075188839864</v>
      </c>
      <c r="N37" s="31">
        <f t="shared" si="10"/>
        <v>20.311178932032213</v>
      </c>
    </row>
    <row r="38" spans="1:14" ht="15" customHeight="1" x14ac:dyDescent="0.25">
      <c r="A38" s="121">
        <f t="shared" si="4"/>
        <v>56</v>
      </c>
      <c r="B38" s="136">
        <f>IF(A38&gt;200,"",IF($C$1='Adj-Mixed'!$A$21,VLOOKUP(A38,'337'!$A$6:$AB$188,3,FALSE),IF($C$1='Adj-Mixed'!$A$20,VLOOKUP(A38,'337'!$A$6:$AB$188,12,FALSE),IF($C$1='Adj-Mixed'!$A$19,VLOOKUP(A38,'337'!$A$6:$AB$188,21,FALSE)))))</f>
        <v>19.355120717219307</v>
      </c>
      <c r="C38" s="135">
        <f t="shared" si="8"/>
        <v>611.9292148800248</v>
      </c>
      <c r="D38" s="27">
        <f t="shared" si="6"/>
        <v>0.68879946637860923</v>
      </c>
      <c r="E38" s="27">
        <f>IF(A38&gt;200,"",IF($C$1='Adj-Mixed'!$A$21,VLOOKUP(A38,'337'!$A$7:$AB$188,9,FALSE),IF($C$1='Adj-Mixed'!$A$20,VLOOKUP(A38,'337'!$A$7:$AB$188,18,FALSE),IF($C$1='Adj-Mixed'!$A$19,VLOOKUP(A38,'337'!$A$7:$AB$188,27,FALSE)))))</f>
        <v>1.4518013570154751</v>
      </c>
      <c r="F38" s="27">
        <f t="shared" si="1"/>
        <v>0.88839966456023423</v>
      </c>
      <c r="G38" s="28">
        <f t="shared" si="9"/>
        <v>17.246088222388256</v>
      </c>
      <c r="I38" s="136">
        <f t="shared" si="7"/>
        <v>20.818149481927207</v>
      </c>
      <c r="J38" s="26">
        <f>IF(A38&gt;200,"",C38*'Adj-Gilts'!$C$6)</f>
        <v>674.58122530963681</v>
      </c>
      <c r="K38" s="27">
        <f>IF(A38&gt;200,"",D38*'Adj-Gilts'!$C$7)</f>
        <v>0.61152281855904511</v>
      </c>
      <c r="L38" s="1">
        <f t="shared" si="2"/>
        <v>1.6352619553205532</v>
      </c>
      <c r="M38" s="27">
        <f t="shared" si="3"/>
        <v>1.1031170135223713</v>
      </c>
      <c r="N38" s="31">
        <f t="shared" si="10"/>
        <v>21.414295945554585</v>
      </c>
    </row>
    <row r="39" spans="1:14" ht="15" customHeight="1" x14ac:dyDescent="0.25">
      <c r="A39" s="121">
        <f t="shared" si="4"/>
        <v>57</v>
      </c>
      <c r="B39" s="136">
        <f>IF(A39&gt;200,"",IF($C$1='Adj-Mixed'!$A$21,VLOOKUP(A39,'337'!$A$6:$AB$188,3,FALSE),IF($C$1='Adj-Mixed'!$A$20,VLOOKUP(A39,'337'!$A$6:$AB$188,12,FALSE),IF($C$1='Adj-Mixed'!$A$19,VLOOKUP(A39,'337'!$A$6:$AB$188,21,FALSE)))))</f>
        <v>19.980752053646363</v>
      </c>
      <c r="C39" s="135">
        <f t="shared" si="8"/>
        <v>625.63133642705543</v>
      </c>
      <c r="D39" s="27">
        <f t="shared" si="6"/>
        <v>0.68109917236712658</v>
      </c>
      <c r="E39" s="27">
        <f>IF(A39&gt;200,"",IF($C$1='Adj-Mixed'!$A$21,VLOOKUP(A39,'337'!$A$7:$AB$188,9,FALSE),IF($C$1='Adj-Mixed'!$A$20,VLOOKUP(A39,'337'!$A$7:$AB$188,18,FALSE),IF($C$1='Adj-Mixed'!$A$19,VLOOKUP(A39,'337'!$A$7:$AB$188,27,FALSE)))))</f>
        <v>1.4682149686433319</v>
      </c>
      <c r="F39" s="27">
        <f t="shared" si="1"/>
        <v>0.91856129299453504</v>
      </c>
      <c r="G39" s="28">
        <f t="shared" si="9"/>
        <v>18.164649515382791</v>
      </c>
      <c r="I39" s="136">
        <f t="shared" si="7"/>
        <v>21.507835712387397</v>
      </c>
      <c r="J39" s="26">
        <f>IF(A39&gt;200,"",C39*'Adj-Gilts'!$C$6)</f>
        <v>689.68623046019115</v>
      </c>
      <c r="K39" s="27">
        <f>IF(A39&gt;200,"",D39*'Adj-Gilts'!$C$7)</f>
        <v>0.60468642316752075</v>
      </c>
      <c r="L39" s="1">
        <f t="shared" si="2"/>
        <v>1.65374971503695</v>
      </c>
      <c r="M39" s="27">
        <f t="shared" si="3"/>
        <v>1.1405684070884494</v>
      </c>
      <c r="N39" s="31">
        <f t="shared" si="10"/>
        <v>22.554864352643033</v>
      </c>
    </row>
    <row r="40" spans="1:14" x14ac:dyDescent="0.25">
      <c r="A40" s="121">
        <f t="shared" si="4"/>
        <v>58</v>
      </c>
      <c r="B40" s="136">
        <f>IF(A40&gt;200,"",IF($C$1='Adj-Mixed'!$A$21,VLOOKUP(A40,'337'!$A$6:$AB$188,3,FALSE),IF($C$1='Adj-Mixed'!$A$20,VLOOKUP(A40,'337'!$A$6:$AB$188,12,FALSE),IF($C$1='Adj-Mixed'!$A$19,VLOOKUP(A40,'337'!$A$6:$AB$188,21,FALSE)))))</f>
        <v>20.620392325105275</v>
      </c>
      <c r="C40" s="135">
        <f t="shared" si="8"/>
        <v>639.64027145891225</v>
      </c>
      <c r="D40" s="27">
        <f t="shared" si="6"/>
        <v>0.67421188738181093</v>
      </c>
      <c r="E40" s="27">
        <f>IF(A40&gt;200,"",IF($C$1='Adj-Mixed'!$A$21,VLOOKUP(A40,'337'!$A$7:$AB$188,9,FALSE),IF($C$1='Adj-Mixed'!$A$20,VLOOKUP(A40,'337'!$A$7:$AB$188,18,FALSE),IF($C$1='Adj-Mixed'!$A$19,VLOOKUP(A40,'337'!$A$7:$AB$188,27,FALSE)))))</f>
        <v>1.4832132430701166</v>
      </c>
      <c r="F40" s="27">
        <f t="shared" si="1"/>
        <v>0.94872292142882297</v>
      </c>
      <c r="G40" s="28">
        <f t="shared" si="9"/>
        <v>19.113372436811613</v>
      </c>
      <c r="H40" s="1"/>
      <c r="I40" s="136">
        <f t="shared" si="7"/>
        <v>22.212965174399994</v>
      </c>
      <c r="J40" s="26">
        <f>IF(A40&gt;200,"",C40*'Adj-Gilts'!$C$6)</f>
        <v>705.12946201259535</v>
      </c>
      <c r="K40" s="27">
        <f>IF(A40&gt;200,"",D40*'Adj-Gilts'!$C$7)</f>
        <v>0.59857182504133033</v>
      </c>
      <c r="L40" s="1">
        <f t="shared" si="2"/>
        <v>1.6706432848404646</v>
      </c>
      <c r="M40" s="27">
        <f t="shared" si="3"/>
        <v>1.178019800654512</v>
      </c>
      <c r="N40" s="31">
        <f t="shared" si="10"/>
        <v>23.732884153297544</v>
      </c>
    </row>
    <row r="41" spans="1:14" x14ac:dyDescent="0.25">
      <c r="A41" s="121">
        <f t="shared" si="4"/>
        <v>59</v>
      </c>
      <c r="B41" s="136">
        <f>IF(A41&gt;200,"",IF($C$1='Adj-Mixed'!$A$21,VLOOKUP(A41,'337'!$A$6:$AB$188,3,FALSE),IF($C$1='Adj-Mixed'!$A$20,VLOOKUP(A41,'337'!$A$6:$AB$188,12,FALSE),IF($C$1='Adj-Mixed'!$A$19,VLOOKUP(A41,'337'!$A$6:$AB$188,21,FALSE)))))</f>
        <v>21.274355215149445</v>
      </c>
      <c r="C41" s="135">
        <f t="shared" si="8"/>
        <v>653.96289004416985</v>
      </c>
      <c r="D41" s="27">
        <f t="shared" si="6"/>
        <v>0.66806947779042103</v>
      </c>
      <c r="E41" s="27">
        <f>IF(A41&gt;200,"",IF($C$1='Adj-Mixed'!$A$21,VLOOKUP(A41,'337'!$A$7:$AB$188,9,FALSE),IF($C$1='Adj-Mixed'!$A$20,VLOOKUP(A41,'337'!$A$7:$AB$188,18,FALSE),IF($C$1='Adj-Mixed'!$A$19,VLOOKUP(A41,'337'!$A$7:$AB$188,27,FALSE)))))</f>
        <v>1.4968503026173399</v>
      </c>
      <c r="F41" s="27">
        <f t="shared" si="1"/>
        <v>0.97888454986312579</v>
      </c>
      <c r="G41" s="28">
        <f t="shared" si="9"/>
        <v>20.092256986674737</v>
      </c>
      <c r="H41" s="1"/>
      <c r="I41" s="136">
        <f t="shared" si="7"/>
        <v>22.93388366782332</v>
      </c>
      <c r="J41" s="26">
        <f>IF(A41&gt;200,"",C41*'Adj-Gilts'!$C$6)</f>
        <v>720.91849342332796</v>
      </c>
      <c r="K41" s="27">
        <f>IF(A41&gt;200,"",D41*'Adj-Gilts'!$C$7)</f>
        <v>0.59311853448374707</v>
      </c>
      <c r="L41" s="1">
        <f>IF(A41&gt;200,"",1/K41)</f>
        <v>1.6860036263584384</v>
      </c>
      <c r="M41" s="146">
        <f>IF(A41&gt;200,"",(J41/1000)/K41)</f>
        <v>1.2154711942205929</v>
      </c>
      <c r="N41" s="31">
        <f t="shared" si="10"/>
        <v>24.948355347518138</v>
      </c>
    </row>
    <row r="42" spans="1:14" x14ac:dyDescent="0.25">
      <c r="A42" s="121">
        <f t="shared" si="4"/>
        <v>60</v>
      </c>
      <c r="B42" s="136">
        <f>IF(A42&gt;200,"",IF($C$1='Adj-Mixed'!$A$21,VLOOKUP(A42,'337'!$A$6:$AB$188,3,FALSE),IF($C$1='Adj-Mixed'!$A$20,VLOOKUP(A42,'337'!$A$6:$AB$188,12,FALSE),IF($C$1='Adj-Mixed'!$A$19,VLOOKUP(A42,'337'!$A$6:$AB$188,21,FALSE)))))</f>
        <v>21.942586904228435</v>
      </c>
      <c r="C42" s="147">
        <f t="shared" si="8"/>
        <v>668.23168907898992</v>
      </c>
      <c r="D42" s="27">
        <f t="shared" si="6"/>
        <v>0.666827877094472</v>
      </c>
      <c r="E42" s="27">
        <f>IF(A42&gt;200,"",IF($C$1='Adj-Mixed'!$A$21,VLOOKUP(A42,'337'!$A$7:$AB$188,9,FALSE),IF($C$1='Adj-Mixed'!$A$20,VLOOKUP(A42,'337'!$A$7:$AB$188,18,FALSE),IF($C$1='Adj-Mixed'!$A$19,VLOOKUP(A42,'337'!$A$7:$AB$188,27,FALSE)))))</f>
        <v>1.4996373642284397</v>
      </c>
      <c r="F42" s="27">
        <f t="shared" si="1"/>
        <v>1.0021052089043347</v>
      </c>
      <c r="G42" s="28">
        <f t="shared" si="9"/>
        <v>21.094362195579073</v>
      </c>
      <c r="H42" s="1"/>
      <c r="I42" s="136">
        <f t="shared" si="7"/>
        <v>23.670531862824131</v>
      </c>
      <c r="J42" s="26">
        <f>IF(A42&gt;200,"",C42*'Adj-Gilts'!$C$6)</f>
        <v>736.64819500081035</v>
      </c>
      <c r="K42" s="27">
        <f>IF(A42&gt;200,"",D42*'Adj-Gilts'!$C$7)</f>
        <v>0.5920162293947151</v>
      </c>
      <c r="L42" s="1">
        <f t="shared" si="2"/>
        <v>1.6891428821510732</v>
      </c>
      <c r="M42" s="146">
        <f t="shared" si="3"/>
        <v>1.2443040552350546</v>
      </c>
      <c r="N42" s="31">
        <f t="shared" si="10"/>
        <v>26.192659402753193</v>
      </c>
    </row>
    <row r="43" spans="1:14" x14ac:dyDescent="0.25">
      <c r="A43" s="121">
        <f t="shared" si="4"/>
        <v>61</v>
      </c>
      <c r="B43" s="136">
        <f>IF(A43&gt;200,"",IF($C$1='Adj-Mixed'!$A$21,VLOOKUP(A43,'337'!$A$6:$AB$188,3,FALSE),IF($C$1='Adj-Mixed'!$A$20,VLOOKUP(A43,'337'!$A$6:$AB$188,12,FALSE),IF($C$1='Adj-Mixed'!$A$19,VLOOKUP(A43,'337'!$A$6:$AB$188,21,FALSE)))))</f>
        <v>22.606838224013956</v>
      </c>
      <c r="C43" s="135">
        <f t="shared" si="8"/>
        <v>664.25131978552088</v>
      </c>
      <c r="D43" s="27">
        <f t="shared" si="6"/>
        <v>0.65237117749106799</v>
      </c>
      <c r="E43" s="27">
        <f>IF(A43&gt;200,"",IF($C$1='Adj-Mixed'!$A$21,VLOOKUP(A43,'337'!$A$7:$AB$188,9,FALSE),IF($C$1='Adj-Mixed'!$A$20,VLOOKUP(A43,'337'!$A$7:$AB$188,18,FALSE),IF($C$1='Adj-Mixed'!$A$19,VLOOKUP(A43,'337'!$A$7:$AB$188,27,FALSE)))))</f>
        <v>1.5328696829401105</v>
      </c>
      <c r="F43" s="27">
        <f t="shared" si="1"/>
        <v>1.0182107099521813</v>
      </c>
      <c r="G43" s="28">
        <f t="shared" si="9"/>
        <v>22.112572905531255</v>
      </c>
      <c r="H43" s="1"/>
      <c r="I43" s="136">
        <f t="shared" si="7"/>
        <v>24.402792160777569</v>
      </c>
      <c r="J43" s="26">
        <f>IF(A43&gt;200,"",C43*'Adj-Gilts'!$C$6)</f>
        <v>732.26029795343754</v>
      </c>
      <c r="K43" s="27">
        <f>IF(A43&gt;200,"",D43*'Adj-Gilts'!$C$7)</f>
        <v>0.57918143186646664</v>
      </c>
      <c r="L43" s="1">
        <f t="shared" si="2"/>
        <v>1.7265746879650576</v>
      </c>
      <c r="M43" s="27">
        <f t="shared" si="3"/>
        <v>1.2643020954481565</v>
      </c>
      <c r="N43" s="31">
        <f t="shared" si="10"/>
        <v>27.456961498201348</v>
      </c>
    </row>
    <row r="44" spans="1:14" x14ac:dyDescent="0.25">
      <c r="A44" s="121">
        <f t="shared" si="4"/>
        <v>62</v>
      </c>
      <c r="B44" s="136">
        <f>IF(A44&gt;200,"",IF($C$1='Adj-Mixed'!$A$21,VLOOKUP(A44,'337'!$A$6:$AB$188,3,FALSE),IF($C$1='Adj-Mixed'!$A$20,VLOOKUP(A44,'337'!$A$6:$AB$188,12,FALSE),IF($C$1='Adj-Mixed'!$A$19,VLOOKUP(A44,'337'!$A$6:$AB$188,21,FALSE)))))</f>
        <v>23.279812322142401</v>
      </c>
      <c r="C44" s="135">
        <f t="shared" si="8"/>
        <v>672.9740981284458</v>
      </c>
      <c r="D44" s="27">
        <f t="shared" si="6"/>
        <v>0.6438569720193934</v>
      </c>
      <c r="E44" s="27">
        <f>IF(A44&gt;200,"",IF($C$1='Adj-Mixed'!$A$21,VLOOKUP(A44,'337'!$A$7:$AB$188,9,FALSE),IF($C$1='Adj-Mixed'!$A$20,VLOOKUP(A44,'337'!$A$7:$AB$188,18,FALSE),IF($C$1='Adj-Mixed'!$A$19,VLOOKUP(A44,'337'!$A$7:$AB$188,27,FALSE)))))</f>
        <v>1.5531399727855697</v>
      </c>
      <c r="F44" s="27">
        <f t="shared" si="1"/>
        <v>1.0452229724526076</v>
      </c>
      <c r="G44" s="28">
        <f t="shared" si="9"/>
        <v>23.157795877983862</v>
      </c>
      <c r="H44" s="1"/>
      <c r="I44" s="136">
        <f t="shared" si="7"/>
        <v>25.14466831357106</v>
      </c>
      <c r="J44" s="26">
        <f>IF(A44&gt;200,"",C44*'Adj-Gilts'!$C$6)</f>
        <v>741.87615279349177</v>
      </c>
      <c r="K44" s="27">
        <f>IF(A44&gt;200,"",D44*'Adj-Gilts'!$C$7)</f>
        <v>0.57162243801996526</v>
      </c>
      <c r="L44" s="1">
        <f t="shared" si="2"/>
        <v>1.7494064849236597</v>
      </c>
      <c r="M44" s="27">
        <f t="shared" si="3"/>
        <v>1.2978429527071502</v>
      </c>
      <c r="N44" s="31">
        <f t="shared" si="10"/>
        <v>28.754804450908498</v>
      </c>
    </row>
    <row r="45" spans="1:14" x14ac:dyDescent="0.25">
      <c r="A45" s="121">
        <f t="shared" si="4"/>
        <v>63</v>
      </c>
      <c r="B45" s="136">
        <f>IF(A45&gt;200,"",IF($C$1='Adj-Mixed'!$A$21,VLOOKUP(A45,'337'!$A$6:$AB$188,3,FALSE),IF($C$1='Adj-Mixed'!$A$20,VLOOKUP(A45,'337'!$A$6:$AB$188,12,FALSE),IF($C$1='Adj-Mixed'!$A$19,VLOOKUP(A45,'337'!$A$6:$AB$188,21,FALSE)))))</f>
        <v>23.961380792645365</v>
      </c>
      <c r="C45" s="135">
        <f t="shared" si="8"/>
        <v>681.56847050296324</v>
      </c>
      <c r="D45" s="27">
        <f t="shared" si="6"/>
        <v>0.63560185899004595</v>
      </c>
      <c r="E45" s="27">
        <f>IF(A45&gt;200,"",IF($C$1='Adj-Mixed'!$A$21,VLOOKUP(A45,'337'!$A$7:$AB$188,9,FALSE),IF($C$1='Adj-Mixed'!$A$20,VLOOKUP(A45,'337'!$A$7:$AB$188,18,FALSE),IF($C$1='Adj-Mixed'!$A$19,VLOOKUP(A45,'337'!$A$7:$AB$188,27,FALSE)))))</f>
        <v>1.5733119496990975</v>
      </c>
      <c r="F45" s="27">
        <f t="shared" si="1"/>
        <v>1.0723198191804488</v>
      </c>
      <c r="G45" s="28">
        <f t="shared" si="9"/>
        <v>24.230115697164312</v>
      </c>
      <c r="H45" s="1"/>
      <c r="I45" s="136">
        <f t="shared" si="7"/>
        <v>25.896018768467133</v>
      </c>
      <c r="J45" s="26">
        <f>IF(A45&gt;200,"",C45*'Adj-Gilts'!$C$6)</f>
        <v>751.35045489607387</v>
      </c>
      <c r="K45" s="27">
        <f>IF(A45&gt;200,"",D45*'Adj-Gilts'!$C$7)</f>
        <v>0.56429346894603283</v>
      </c>
      <c r="L45" s="1">
        <f t="shared" si="2"/>
        <v>1.7721275453847876</v>
      </c>
      <c r="M45" s="27">
        <f t="shared" si="3"/>
        <v>1.331488837358723</v>
      </c>
      <c r="N45" s="31">
        <f t="shared" si="10"/>
        <v>30.086293288267221</v>
      </c>
    </row>
    <row r="46" spans="1:14" x14ac:dyDescent="0.25">
      <c r="A46" s="121">
        <f t="shared" si="4"/>
        <v>64</v>
      </c>
      <c r="B46" s="136">
        <f>IF(A46&gt;200,"",IF($C$1='Adj-Mixed'!$A$21,VLOOKUP(A46,'337'!$A$6:$AB$188,3,FALSE),IF($C$1='Adj-Mixed'!$A$20,VLOOKUP(A46,'337'!$A$6:$AB$188,12,FALSE),IF($C$1='Adj-Mixed'!$A$19,VLOOKUP(A46,'337'!$A$6:$AB$188,21,FALSE)))))</f>
        <v>24.651413967341423</v>
      </c>
      <c r="C46" s="135">
        <f t="shared" si="8"/>
        <v>690.03317469605815</v>
      </c>
      <c r="D46" s="27">
        <f t="shared" si="6"/>
        <v>0.62759793421497501</v>
      </c>
      <c r="E46" s="27">
        <f>IF(A46&gt;200,"",IF($C$1='Adj-Mixed'!$A$21,VLOOKUP(A46,'337'!$A$7:$AB$188,9,FALSE),IF($C$1='Adj-Mixed'!$A$20,VLOOKUP(A46,'337'!$A$7:$AB$188,18,FALSE),IF($C$1='Adj-Mixed'!$A$19,VLOOKUP(A46,'337'!$A$7:$AB$188,27,FALSE)))))</f>
        <v>1.5933768189515165</v>
      </c>
      <c r="F46" s="27">
        <f t="shared" si="1"/>
        <v>1.0994828648682211</v>
      </c>
      <c r="G46" s="28">
        <f t="shared" si="9"/>
        <v>25.329598562032533</v>
      </c>
      <c r="H46" s="1"/>
      <c r="I46" s="136">
        <f t="shared" si="7"/>
        <v>26.656700581284369</v>
      </c>
      <c r="J46" s="26">
        <f>IF(A46&gt;200,"",C46*'Adj-Gilts'!$C$6)</f>
        <v>760.68181281723662</v>
      </c>
      <c r="K46" s="27">
        <f>IF(A46&gt;200,"",D46*'Adj-Gilts'!$C$7)</f>
        <v>0.5571875072301804</v>
      </c>
      <c r="L46" s="1">
        <f t="shared" si="2"/>
        <v>1.7947279632507784</v>
      </c>
      <c r="M46" s="27">
        <f t="shared" si="3"/>
        <v>1.3652169205993887</v>
      </c>
      <c r="N46" s="31">
        <f t="shared" si="10"/>
        <v>31.451510208866608</v>
      </c>
    </row>
    <row r="47" spans="1:14" x14ac:dyDescent="0.25">
      <c r="A47" s="121">
        <f t="shared" si="4"/>
        <v>65</v>
      </c>
      <c r="B47" s="136">
        <f>IF(A47&gt;200,"",IF($C$1='Adj-Mixed'!$A$21,VLOOKUP(A47,'337'!$A$6:$AB$188,3,FALSE),IF($C$1='Adj-Mixed'!$A$20,VLOOKUP(A47,'337'!$A$6:$AB$188,12,FALSE),IF($C$1='Adj-Mixed'!$A$19,VLOOKUP(A47,'337'!$A$6:$AB$188,21,FALSE)))))</f>
        <v>25.349780988429394</v>
      </c>
      <c r="C47" s="135">
        <f t="shared" si="8"/>
        <v>698.36702108797158</v>
      </c>
      <c r="D47" s="27">
        <f t="shared" si="6"/>
        <v>0.61983744165813159</v>
      </c>
      <c r="E47" s="27">
        <f>IF(A47&gt;200,"",IF($C$1='Adj-Mixed'!$A$21,VLOOKUP(A47,'337'!$A$7:$AB$188,9,FALSE),IF($C$1='Adj-Mixed'!$A$20,VLOOKUP(A47,'337'!$A$7:$AB$188,18,FALSE),IF($C$1='Adj-Mixed'!$A$19,VLOOKUP(A47,'337'!$A$7:$AB$188,27,FALSE)))))</f>
        <v>1.6133262252194589</v>
      </c>
      <c r="F47" s="27">
        <f t="shared" si="1"/>
        <v>1.1266938299496154</v>
      </c>
      <c r="G47" s="28">
        <f t="shared" si="9"/>
        <v>26.456292391982149</v>
      </c>
      <c r="H47" s="1"/>
      <c r="I47" s="136">
        <f t="shared" si="7"/>
        <v>27.426569496423074</v>
      </c>
      <c r="J47" s="26">
        <f>IF(A47&gt;200,"",C47*'Adj-Gilts'!$C$6)</f>
        <v>769.86891513870603</v>
      </c>
      <c r="K47" s="27">
        <f>IF(A47&gt;200,"",D47*'Adj-Gilts'!$C$7)</f>
        <v>0.55029766698869731</v>
      </c>
      <c r="L47" s="1">
        <f t="shared" si="2"/>
        <v>1.8171983273564183</v>
      </c>
      <c r="M47" s="27">
        <f t="shared" si="3"/>
        <v>1.3990045048737569</v>
      </c>
      <c r="N47" s="31">
        <f t="shared" si="10"/>
        <v>32.850514713740367</v>
      </c>
    </row>
    <row r="48" spans="1:14" x14ac:dyDescent="0.25">
      <c r="A48" s="121">
        <f t="shared" si="4"/>
        <v>66</v>
      </c>
      <c r="B48" s="136">
        <f>IF(A48&gt;200,"",IF($C$1='Adj-Mixed'!$A$21,VLOOKUP(A48,'337'!$A$6:$AB$188,3,FALSE),IF($C$1='Adj-Mixed'!$A$20,VLOOKUP(A48,'337'!$A$6:$AB$188,12,FALSE),IF($C$1='Adj-Mixed'!$A$19,VLOOKUP(A48,'337'!$A$6:$AB$188,21,FALSE)))))</f>
        <v>26.056349880604522</v>
      </c>
      <c r="C48" s="135">
        <f t="shared" si="8"/>
        <v>706.56889217512742</v>
      </c>
      <c r="D48" s="27">
        <f t="shared" si="6"/>
        <v>0.61231278302905834</v>
      </c>
      <c r="E48" s="27">
        <f>IF(A48&gt;200,"",IF($C$1='Adj-Mixed'!$A$21,VLOOKUP(A48,'337'!$A$7:$AB$188,9,FALSE),IF($C$1='Adj-Mixed'!$A$20,VLOOKUP(A48,'337'!$A$7:$AB$188,18,FALSE),IF($C$1='Adj-Mixed'!$A$19,VLOOKUP(A48,'337'!$A$7:$AB$188,27,FALSE)))))</f>
        <v>1.6331522511306829</v>
      </c>
      <c r="F48" s="27">
        <f t="shared" si="1"/>
        <v>1.153934576834722</v>
      </c>
      <c r="G48" s="28">
        <f t="shared" si="9"/>
        <v>27.610226968816871</v>
      </c>
      <c r="H48" s="1"/>
      <c r="I48" s="136">
        <f t="shared" si="7"/>
        <v>28.205480026365038</v>
      </c>
      <c r="J48" s="26">
        <f>IF(A48&gt;200,"",C48*'Adj-Gilts'!$C$6)</f>
        <v>778.910529941964</v>
      </c>
      <c r="K48" s="27">
        <f>IF(A48&gt;200,"",D48*'Adj-Gilts'!$C$7)</f>
        <v>0.5436172023859327</v>
      </c>
      <c r="L48" s="1">
        <f t="shared" si="2"/>
        <v>1.8395297198304357</v>
      </c>
      <c r="M48" s="27">
        <f t="shared" si="3"/>
        <v>1.432829068917117</v>
      </c>
      <c r="N48" s="31">
        <f t="shared" si="10"/>
        <v>34.283343782657482</v>
      </c>
    </row>
    <row r="49" spans="1:14" x14ac:dyDescent="0.25">
      <c r="A49" s="121">
        <f t="shared" si="4"/>
        <v>67</v>
      </c>
      <c r="B49" s="136">
        <f>IF(A49&gt;200,"",IF($C$1='Adj-Mixed'!$A$21,VLOOKUP(A49,'337'!$A$6:$AB$188,3,FALSE),IF($C$1='Adj-Mixed'!$A$20,VLOOKUP(A49,'337'!$A$6:$AB$188,12,FALSE),IF($C$1='Adj-Mixed'!$A$19,VLOOKUP(A49,'337'!$A$6:$AB$188,21,FALSE)))))</f>
        <v>26.770987622661814</v>
      </c>
      <c r="C49" s="135">
        <f t="shared" si="8"/>
        <v>714.6377420572918</v>
      </c>
      <c r="D49" s="27">
        <f t="shared" si="6"/>
        <v>0.605016524900859</v>
      </c>
      <c r="E49" s="27">
        <f>IF(A49&gt;200,"",IF($C$1='Adj-Mixed'!$A$21,VLOOKUP(A49,'337'!$A$7:$AB$188,9,FALSE),IF($C$1='Adj-Mixed'!$A$20,VLOOKUP(A49,'337'!$A$7:$AB$188,18,FALSE),IF($C$1='Adj-Mixed'!$A$19,VLOOKUP(A49,'337'!$A$7:$AB$188,27,FALSE)))))</f>
        <v>1.652847416298034</v>
      </c>
      <c r="F49" s="27">
        <f t="shared" si="1"/>
        <v>1.1811871455484557</v>
      </c>
      <c r="G49" s="28">
        <f t="shared" si="9"/>
        <v>28.791414114365327</v>
      </c>
      <c r="H49" s="1"/>
      <c r="I49" s="136">
        <f t="shared" si="7"/>
        <v>28.993285530607938</v>
      </c>
      <c r="J49" s="26">
        <f>IF(A49&gt;200,"",C49*'Adj-Gilts'!$C$6)</f>
        <v>787.80550424290038</v>
      </c>
      <c r="K49" s="27">
        <f>IF(A49&gt;200,"",D49*'Adj-Gilts'!$C$7)</f>
        <v>0.53713951395369697</v>
      </c>
      <c r="L49" s="1">
        <f t="shared" si="2"/>
        <v>1.8617137150073881</v>
      </c>
      <c r="M49" s="27">
        <f t="shared" si="3"/>
        <v>1.4666683120073187</v>
      </c>
      <c r="N49" s="31">
        <f t="shared" si="10"/>
        <v>35.750012094664804</v>
      </c>
    </row>
    <row r="50" spans="1:14" x14ac:dyDescent="0.25">
      <c r="A50" s="121">
        <f t="shared" si="4"/>
        <v>68</v>
      </c>
      <c r="B50" s="136">
        <f>IF(A50&gt;200,"",IF($C$1='Adj-Mixed'!$A$21,VLOOKUP(A50,'337'!$A$6:$AB$188,3,FALSE),IF($C$1='Adj-Mixed'!$A$20,VLOOKUP(A50,'337'!$A$6:$AB$188,12,FALSE),IF($C$1='Adj-Mixed'!$A$19,VLOOKUP(A50,'337'!$A$6:$AB$188,21,FALSE)))))</f>
        <v>27.493560218550854</v>
      </c>
      <c r="C50" s="135">
        <f t="shared" si="8"/>
        <v>722.57259588904071</v>
      </c>
      <c r="D50" s="27">
        <f t="shared" si="6"/>
        <v>0.59794140375341454</v>
      </c>
      <c r="E50" s="27">
        <f>IF(A50&gt;200,"",IF($C$1='Adj-Mixed'!$A$21,VLOOKUP(A50,'337'!$A$7:$AB$188,9,FALSE),IF($C$1='Adj-Mixed'!$A$20,VLOOKUP(A50,'337'!$A$7:$AB$188,18,FALSE),IF($C$1='Adj-Mixed'!$A$19,VLOOKUP(A50,'337'!$A$7:$AB$188,27,FALSE)))))</f>
        <v>1.6724046766502068</v>
      </c>
      <c r="F50" s="27">
        <f t="shared" si="1"/>
        <v>1.2084337885841117</v>
      </c>
      <c r="G50" s="28">
        <f t="shared" si="9"/>
        <v>29.99984790294944</v>
      </c>
      <c r="H50" s="1"/>
      <c r="I50" s="136">
        <f t="shared" si="7"/>
        <v>29.789838293995057</v>
      </c>
      <c r="J50" s="26">
        <f>IF(A50&gt;200,"",C50*'Adj-Gilts'!$C$6)</f>
        <v>796.5527633871194</v>
      </c>
      <c r="K50" s="27">
        <f>IF(A50&gt;200,"",D50*'Adj-Gilts'!$C$7)</f>
        <v>0.5308581530686789</v>
      </c>
      <c r="L50" s="1">
        <f t="shared" si="2"/>
        <v>1.8837423786738501</v>
      </c>
      <c r="M50" s="27">
        <f t="shared" si="3"/>
        <v>1.5005001972420808</v>
      </c>
      <c r="N50" s="31">
        <f t="shared" si="10"/>
        <v>37.250512291906887</v>
      </c>
    </row>
    <row r="51" spans="1:14" x14ac:dyDescent="0.25">
      <c r="A51" s="121">
        <f t="shared" si="4"/>
        <v>69</v>
      </c>
      <c r="B51" s="136">
        <f>IF(A51&gt;200,"",IF($C$1='Adj-Mixed'!$A$21,VLOOKUP(A51,'337'!$A$6:$AB$188,3,FALSE),IF($C$1='Adj-Mixed'!$A$20,VLOOKUP(A51,'337'!$A$6:$AB$188,12,FALSE),IF($C$1='Adj-Mixed'!$A$19,VLOOKUP(A51,'337'!$A$6:$AB$188,21,FALSE)))))</f>
        <v>28.223932767845465</v>
      </c>
      <c r="C51" s="135">
        <f t="shared" si="8"/>
        <v>730.37254929461074</v>
      </c>
      <c r="D51" s="27">
        <f t="shared" si="6"/>
        <v>0.59108032928194298</v>
      </c>
      <c r="E51" s="27">
        <f>IF(A51&gt;200,"",IF($C$1='Adj-Mixed'!$A$21,VLOOKUP(A51,'337'!$A$7:$AB$188,9,FALSE),IF($C$1='Adj-Mixed'!$A$20,VLOOKUP(A51,'337'!$A$7:$AB$188,18,FALSE),IF($C$1='Adj-Mixed'!$A$19,VLOOKUP(A51,'337'!$A$7:$AB$188,27,FALSE)))))</f>
        <v>1.6918174238936718</v>
      </c>
      <c r="F51" s="27">
        <f t="shared" si="1"/>
        <v>1.2356570048302622</v>
      </c>
      <c r="G51" s="28">
        <f t="shared" si="9"/>
        <v>31.235504907779703</v>
      </c>
      <c r="H51" s="1"/>
      <c r="I51" s="136">
        <f t="shared" si="7"/>
        <v>30.594989604399938</v>
      </c>
      <c r="J51" s="26">
        <f>IF(A51&gt;200,"",C51*'Adj-Gilts'!$C$6)</f>
        <v>805.15131040488041</v>
      </c>
      <c r="K51" s="27">
        <f>IF(A51&gt;200,"",D51*'Adj-Gilts'!$C$7)</f>
        <v>0.52476682488981596</v>
      </c>
      <c r="L51" s="1">
        <f t="shared" si="2"/>
        <v>1.9056082674623489</v>
      </c>
      <c r="M51" s="27">
        <f t="shared" si="3"/>
        <v>1.534302993665684</v>
      </c>
      <c r="N51" s="31">
        <f t="shared" si="10"/>
        <v>38.78481528557257</v>
      </c>
    </row>
    <row r="52" spans="1:14" x14ac:dyDescent="0.25">
      <c r="A52" s="121">
        <f t="shared" si="4"/>
        <v>70</v>
      </c>
      <c r="B52" s="136">
        <f>IF(A52&gt;200,"",IF($C$1='Adj-Mixed'!$A$21,VLOOKUP(A52,'337'!$A$6:$AB$188,3,FALSE),IF($C$1='Adj-Mixed'!$A$20,VLOOKUP(A52,'337'!$A$6:$AB$188,12,FALSE),IF($C$1='Adj-Mixed'!$A$19,VLOOKUP(A52,'337'!$A$6:$AB$188,21,FALSE)))))</f>
        <v>28.961969535592822</v>
      </c>
      <c r="C52" s="135">
        <f t="shared" si="8"/>
        <v>738.03676774735652</v>
      </c>
      <c r="D52" s="27">
        <f t="shared" si="6"/>
        <v>0.58442638626188548</v>
      </c>
      <c r="E52" s="27">
        <f>IF(A52&gt;200,"",IF($C$1='Adj-Mixed'!$A$21,VLOOKUP(A52,'337'!$A$7:$AB$188,9,FALSE),IF($C$1='Adj-Mixed'!$A$20,VLOOKUP(A52,'337'!$A$7:$AB$188,18,FALSE),IF($C$1='Adj-Mixed'!$A$19,VLOOKUP(A52,'337'!$A$7:$AB$188,27,FALSE)))))</f>
        <v>1.7110794849565418</v>
      </c>
      <c r="F52" s="27">
        <f t="shared" si="1"/>
        <v>1.2628395724361376</v>
      </c>
      <c r="G52" s="28">
        <f t="shared" si="9"/>
        <v>32.498344480215842</v>
      </c>
      <c r="H52" s="1"/>
      <c r="I52" s="136">
        <f t="shared" si="7"/>
        <v>31.40858982972696</v>
      </c>
      <c r="J52" s="26">
        <f>IF(A52&gt;200,"",C52*'Adj-Gilts'!$C$6)</f>
        <v>813.60022532702158</v>
      </c>
      <c r="K52" s="27">
        <f>IF(A52&gt;200,"",D52*'Adj-Gilts'!$C$7)</f>
        <v>0.51885939001395864</v>
      </c>
      <c r="L52" s="1">
        <f t="shared" si="2"/>
        <v>1.9273044282249521</v>
      </c>
      <c r="M52" s="27">
        <f t="shared" si="3"/>
        <v>1.5680553170775875</v>
      </c>
      <c r="N52" s="31">
        <f t="shared" si="10"/>
        <v>40.352870602650157</v>
      </c>
    </row>
    <row r="53" spans="1:14" x14ac:dyDescent="0.25">
      <c r="A53" s="121">
        <f t="shared" si="4"/>
        <v>71</v>
      </c>
      <c r="B53" s="136">
        <f>IF(A53&gt;200,"",IF($C$1='Adj-Mixed'!$A$21,VLOOKUP(A53,'337'!$A$6:$AB$188,3,FALSE),IF($C$1='Adj-Mixed'!$A$20,VLOOKUP(A53,'337'!$A$6:$AB$188,12,FALSE),IF($C$1='Adj-Mixed'!$A$19,VLOOKUP(A53,'337'!$A$6:$AB$188,21,FALSE)))))</f>
        <v>29.70753402150568</v>
      </c>
      <c r="C53" s="135">
        <f t="shared" si="8"/>
        <v>745.56448591285834</v>
      </c>
      <c r="D53" s="27">
        <f t="shared" si="6"/>
        <v>0.57797283521640408</v>
      </c>
      <c r="E53" s="27">
        <f>IF(A53&gt;200,"",IF($C$1='Adj-Mixed'!$A$21,VLOOKUP(A53,'337'!$A$7:$AB$188,9,FALSE),IF($C$1='Adj-Mixed'!$A$20,VLOOKUP(A53,'337'!$A$7:$AB$188,18,FALSE),IF($C$1='Adj-Mixed'!$A$19,VLOOKUP(A53,'337'!$A$7:$AB$188,27,FALSE)))))</f>
        <v>1.7301851212878905</v>
      </c>
      <c r="F53" s="27">
        <f t="shared" si="1"/>
        <v>1.2899645804870825</v>
      </c>
      <c r="G53" s="28">
        <f t="shared" si="9"/>
        <v>33.788309060702922</v>
      </c>
      <c r="H53" s="1"/>
      <c r="I53" s="136">
        <f t="shared" si="7"/>
        <v>32.230488494187775</v>
      </c>
      <c r="J53" s="26">
        <f>IF(A53&gt;200,"",C53*'Adj-Gilts'!$C$6)</f>
        <v>821.89866446081169</v>
      </c>
      <c r="K53" s="27">
        <f>IF(A53&gt;200,"",D53*'Adj-Gilts'!$C$7)</f>
        <v>0.51312986506848168</v>
      </c>
      <c r="L53" s="1">
        <f t="shared" si="2"/>
        <v>1.9488243972440411</v>
      </c>
      <c r="M53" s="27">
        <f t="shared" si="3"/>
        <v>1.6017361693635239</v>
      </c>
      <c r="N53" s="31">
        <f t="shared" si="10"/>
        <v>41.954606772013683</v>
      </c>
    </row>
    <row r="54" spans="1:14" x14ac:dyDescent="0.25">
      <c r="A54" s="121">
        <f t="shared" si="4"/>
        <v>72</v>
      </c>
      <c r="B54" s="136">
        <f>IF(A54&gt;200,"",IF($C$1='Adj-Mixed'!$A$21,VLOOKUP(A54,'337'!$A$6:$AB$188,3,FALSE),IF($C$1='Adj-Mixed'!$A$20,VLOOKUP(A54,'337'!$A$6:$AB$188,12,FALSE),IF($C$1='Adj-Mixed'!$A$19,VLOOKUP(A54,'337'!$A$6:$AB$188,21,FALSE)))))</f>
        <v>30.460489028462941</v>
      </c>
      <c r="C54" s="135">
        <f t="shared" si="8"/>
        <v>752.9550069572615</v>
      </c>
      <c r="D54" s="27">
        <f t="shared" si="6"/>
        <v>0.57171311209680109</v>
      </c>
      <c r="E54" s="27">
        <f>IF(A54&gt;200,"",IF($C$1='Adj-Mixed'!$A$21,VLOOKUP(A54,'337'!$A$7:$AB$188,9,FALSE),IF($C$1='Adj-Mixed'!$A$20,VLOOKUP(A54,'337'!$A$7:$AB$188,18,FALSE),IF($C$1='Adj-Mixed'!$A$19,VLOOKUP(A54,'337'!$A$7:$AB$188,27,FALSE)))))</f>
        <v>1.749129027900767</v>
      </c>
      <c r="F54" s="27">
        <f t="shared" si="1"/>
        <v>1.3170154593721699</v>
      </c>
      <c r="G54" s="28">
        <f t="shared" si="9"/>
        <v>35.105324520075094</v>
      </c>
      <c r="H54" s="1"/>
      <c r="I54" s="136">
        <f t="shared" si="7"/>
        <v>33.06053435381525</v>
      </c>
      <c r="J54" s="26">
        <f>IF(A54&gt;200,"",C54*'Adj-Gilts'!$C$6)</f>
        <v>830.04585962747421</v>
      </c>
      <c r="K54" s="27">
        <f>IF(A54&gt;200,"",D54*'Adj-Gilts'!$C$7)</f>
        <v>0.50757242242755674</v>
      </c>
      <c r="L54" s="1">
        <f t="shared" si="2"/>
        <v>1.9701621991543974</v>
      </c>
      <c r="M54" s="27">
        <f t="shared" si="3"/>
        <v>1.6353249762026669</v>
      </c>
      <c r="N54" s="31">
        <f t="shared" si="10"/>
        <v>43.589931748216351</v>
      </c>
    </row>
    <row r="55" spans="1:14" x14ac:dyDescent="0.25">
      <c r="A55" s="121">
        <f t="shared" si="4"/>
        <v>73</v>
      </c>
      <c r="B55" s="136">
        <f>IF(A55&gt;200,"",IF($C$1='Adj-Mixed'!$A$21,VLOOKUP(A55,'337'!$A$6:$AB$188,3,FALSE),IF($C$1='Adj-Mixed'!$A$20,VLOOKUP(A55,'337'!$A$6:$AB$188,12,FALSE),IF($C$1='Adj-Mixed'!$A$19,VLOOKUP(A55,'337'!$A$6:$AB$188,21,FALSE)))))</f>
        <v>31.220696730283173</v>
      </c>
      <c r="C55" s="135">
        <f t="shared" si="8"/>
        <v>760.20770182023159</v>
      </c>
      <c r="D55" s="27">
        <f t="shared" si="6"/>
        <v>0.56564082715417174</v>
      </c>
      <c r="E55" s="27">
        <f>IF(A55&gt;200,"",IF($C$1='Adj-Mixed'!$A$21,VLOOKUP(A55,'337'!$A$7:$AB$188,9,FALSE),IF($C$1='Adj-Mixed'!$A$20,VLOOKUP(A55,'337'!$A$7:$AB$188,18,FALSE),IF($C$1='Adj-Mixed'!$A$19,VLOOKUP(A55,'337'!$A$7:$AB$188,27,FALSE)))))</f>
        <v>1.7679063320643911</v>
      </c>
      <c r="F55" s="27">
        <f t="shared" si="1"/>
        <v>1.3439760097321058</v>
      </c>
      <c r="G55" s="28">
        <f t="shared" si="9"/>
        <v>36.449300529807196</v>
      </c>
      <c r="H55" s="1"/>
      <c r="I55" s="136">
        <f t="shared" si="7"/>
        <v>33.898575471175953</v>
      </c>
      <c r="J55" s="26">
        <f>IF(A55&gt;200,"",C55*'Adj-Gilts'!$C$6)</f>
        <v>838.04111736070479</v>
      </c>
      <c r="K55" s="27">
        <f>IF(A55&gt;200,"",D55*'Adj-Gilts'!$C$7)</f>
        <v>0.50218138921039501</v>
      </c>
      <c r="L55" s="1">
        <f t="shared" si="2"/>
        <v>1.9913123454701303</v>
      </c>
      <c r="M55" s="27">
        <f t="shared" si="3"/>
        <v>1.6688016230119536</v>
      </c>
      <c r="N55" s="31">
        <f t="shared" si="10"/>
        <v>45.258733371228303</v>
      </c>
    </row>
    <row r="56" spans="1:14" x14ac:dyDescent="0.25">
      <c r="A56" s="121">
        <f t="shared" si="4"/>
        <v>74</v>
      </c>
      <c r="B56" s="136">
        <f>IF(A56&gt;200,"",IF($C$1='Adj-Mixed'!$A$21,VLOOKUP(A56,'337'!$A$6:$AB$188,3,FALSE),IF($C$1='Adj-Mixed'!$A$20,VLOOKUP(A56,'337'!$A$6:$AB$188,12,FALSE),IF($C$1='Adj-Mixed'!$A$19,VLOOKUP(A56,'337'!$A$6:$AB$188,21,FALSE)))))</f>
        <v>31.988018738737132</v>
      </c>
      <c r="C56" s="135">
        <f t="shared" si="8"/>
        <v>767.32200845395937</v>
      </c>
      <c r="D56" s="27">
        <f t="shared" si="6"/>
        <v>0.5597497631539623</v>
      </c>
      <c r="E56" s="27">
        <f>IF(A56&gt;200,"",IF($C$1='Adj-Mixed'!$A$21,VLOOKUP(A56,'337'!$A$7:$AB$188,9,FALSE),IF($C$1='Adj-Mixed'!$A$20,VLOOKUP(A56,'337'!$A$7:$AB$188,18,FALSE),IF($C$1='Adj-Mixed'!$A$19,VLOOKUP(A56,'337'!$A$7:$AB$188,27,FALSE)))))</f>
        <v>1.7865125915648568</v>
      </c>
      <c r="F56" s="27">
        <f t="shared" si="1"/>
        <v>1.3708304298878338</v>
      </c>
      <c r="G56" s="28">
        <f t="shared" si="9"/>
        <v>37.820130959695028</v>
      </c>
      <c r="H56" s="1"/>
      <c r="I56" s="136">
        <f t="shared" si="7"/>
        <v>34.744459289243714</v>
      </c>
      <c r="J56" s="26">
        <f>IF(A56&gt;200,"",C56*'Adj-Gilts'!$C$6)</f>
        <v>845.88381806776204</v>
      </c>
      <c r="K56" s="27">
        <f>IF(A56&gt;200,"",D56*'Adj-Gilts'!$C$7)</f>
        <v>0.49695124569611476</v>
      </c>
      <c r="L56" s="1">
        <f t="shared" si="2"/>
        <v>2.0122698326255914</v>
      </c>
      <c r="M56" s="27">
        <f t="shared" si="3"/>
        <v>1.7021464890039117</v>
      </c>
      <c r="N56" s="31">
        <f t="shared" si="10"/>
        <v>46.960879860232211</v>
      </c>
    </row>
    <row r="57" spans="1:14" x14ac:dyDescent="0.25">
      <c r="A57" s="121">
        <f t="shared" si="4"/>
        <v>75</v>
      </c>
      <c r="B57" s="136">
        <f>IF(A57&gt;200,"",IF($C$1='Adj-Mixed'!$A$21,VLOOKUP(A57,'337'!$A$6:$AB$188,3,FALSE),IF($C$1='Adj-Mixed'!$A$20,VLOOKUP(A57,'337'!$A$6:$AB$188,12,FALSE),IF($C$1='Adj-Mixed'!$A$19,VLOOKUP(A57,'337'!$A$6:$AB$188,21,FALSE)))))</f>
        <v>32.762316169765811</v>
      </c>
      <c r="C57" s="135">
        <f t="shared" si="8"/>
        <v>774.29743102867837</v>
      </c>
      <c r="D57" s="27">
        <f t="shared" si="6"/>
        <v>0.55403387306215124</v>
      </c>
      <c r="E57" s="27">
        <f>IF(A57&gt;200,"",IF($C$1='Adj-Mixed'!$A$21,VLOOKUP(A57,'337'!$A$7:$AB$188,9,FALSE),IF($C$1='Adj-Mixed'!$A$20,VLOOKUP(A57,'337'!$A$7:$AB$188,18,FALSE),IF($C$1='Adj-Mixed'!$A$19,VLOOKUP(A57,'337'!$A$7:$AB$188,27,FALSE)))))</f>
        <v>1.8049437924670366</v>
      </c>
      <c r="F57" s="27">
        <f t="shared" si="1"/>
        <v>1.3975633416583864</v>
      </c>
      <c r="G57" s="28">
        <f t="shared" si="9"/>
        <v>39.217694301353411</v>
      </c>
      <c r="H57" s="1"/>
      <c r="I57" s="136">
        <f t="shared" si="7"/>
        <v>35.598032704397355</v>
      </c>
      <c r="J57" s="26">
        <f>IF(A57&gt;200,"",C57*'Adj-Gilts'!$C$6)</f>
        <v>853.57341515364237</v>
      </c>
      <c r="K57" s="27">
        <f>IF(A57&gt;200,"",D57*'Adj-Gilts'!$C$7)</f>
        <v>0.49187662326951037</v>
      </c>
      <c r="L57" s="1">
        <f t="shared" si="2"/>
        <v>2.033030139454457</v>
      </c>
      <c r="M57" s="27">
        <f t="shared" si="3"/>
        <v>1.7353404792444265</v>
      </c>
      <c r="N57" s="31">
        <f t="shared" si="10"/>
        <v>48.696220339476639</v>
      </c>
    </row>
    <row r="58" spans="1:14" x14ac:dyDescent="0.25">
      <c r="A58" s="121">
        <f t="shared" si="4"/>
        <v>76</v>
      </c>
      <c r="B58" s="136">
        <f>IF(A58&gt;200,"",IF($C$1='Adj-Mixed'!$A$21,VLOOKUP(A58,'337'!$A$6:$AB$188,3,FALSE),IF($C$1='Adj-Mixed'!$A$20,VLOOKUP(A58,'337'!$A$6:$AB$188,12,FALSE),IF($C$1='Adj-Mixed'!$A$19,VLOOKUP(A58,'337'!$A$6:$AB$188,21,FALSE)))))</f>
        <v>33.543449708871115</v>
      </c>
      <c r="C58" s="135">
        <f t="shared" si="8"/>
        <v>781.13353910530486</v>
      </c>
      <c r="D58" s="27">
        <f t="shared" si="6"/>
        <v>0.54848727731180569</v>
      </c>
      <c r="E58" s="27">
        <f>IF(A58&gt;200,"",IF($C$1='Adj-Mixed'!$A$21,VLOOKUP(A58,'337'!$A$7:$AB$188,9,FALSE),IF($C$1='Adj-Mixed'!$A$20,VLOOKUP(A58,'337'!$A$7:$AB$188,18,FALSE),IF($C$1='Adj-Mixed'!$A$19,VLOOKUP(A58,'337'!$A$7:$AB$188,27,FALSE)))))</f>
        <v>1.8231963463238492</v>
      </c>
      <c r="F58" s="27">
        <f t="shared" si="1"/>
        <v>1.4241598144878094</v>
      </c>
      <c r="G58" s="28">
        <f t="shared" si="9"/>
        <v>40.64185411584122</v>
      </c>
      <c r="H58" s="1"/>
      <c r="I58" s="136">
        <f t="shared" si="7"/>
        <v>36.459142138506365</v>
      </c>
      <c r="J58" s="26">
        <f>IF(A58&gt;200,"",C58*'Adj-Gilts'!$C$6)</f>
        <v>861.10943410901109</v>
      </c>
      <c r="K58" s="27">
        <f>IF(A58&gt;200,"",D58*'Adj-Gilts'!$C$7)</f>
        <v>0.48695230199427508</v>
      </c>
      <c r="L58" s="1">
        <f t="shared" si="2"/>
        <v>2.0535892240463349</v>
      </c>
      <c r="M58" s="27">
        <f t="shared" si="3"/>
        <v>1.7683650546109029</v>
      </c>
      <c r="N58" s="31">
        <f t="shared" si="10"/>
        <v>50.464585394087543</v>
      </c>
    </row>
    <row r="59" spans="1:14" x14ac:dyDescent="0.25">
      <c r="A59" s="121">
        <f t="shared" si="4"/>
        <v>77</v>
      </c>
      <c r="B59" s="136">
        <f>IF(A59&gt;200,"",IF($C$1='Adj-Mixed'!$A$21,VLOOKUP(A59,'337'!$A$6:$AB$188,3,FALSE),IF($C$1='Adj-Mixed'!$A$20,VLOOKUP(A59,'337'!$A$6:$AB$188,12,FALSE),IF($C$1='Adj-Mixed'!$A$19,VLOOKUP(A59,'337'!$A$6:$AB$188,21,FALSE)))))</f>
        <v>34.331279675647657</v>
      </c>
      <c r="C59" s="135">
        <f t="shared" si="8"/>
        <v>787.82996677654182</v>
      </c>
      <c r="D59" s="27">
        <f t="shared" si="6"/>
        <v>0.54310426074263352</v>
      </c>
      <c r="E59" s="27">
        <f>IF(A59&gt;200,"",IF($C$1='Adj-Mixed'!$A$21,VLOOKUP(A59,'337'!$A$7:$AB$188,9,FALSE),IF($C$1='Adj-Mixed'!$A$20,VLOOKUP(A59,'337'!$A$7:$AB$188,18,FALSE),IF($C$1='Adj-Mixed'!$A$19,VLOOKUP(A59,'337'!$A$7:$AB$188,27,FALSE)))))</f>
        <v>1.8412670867884802</v>
      </c>
      <c r="F59" s="27">
        <f t="shared" si="1"/>
        <v>1.4506053878113083</v>
      </c>
      <c r="G59" s="28">
        <f t="shared" si="9"/>
        <v>42.092459503652528</v>
      </c>
      <c r="H59" s="1"/>
      <c r="I59" s="136">
        <f t="shared" si="7"/>
        <v>37.327633610069732</v>
      </c>
      <c r="J59" s="26">
        <f>IF(A59&gt;200,"",C59*'Adj-Gilts'!$C$6)</f>
        <v>868.49147156336937</v>
      </c>
      <c r="K59" s="27">
        <f>IF(A59&gt;200,"",D59*'Adj-Gilts'!$C$7)</f>
        <v>0.48217320789590534</v>
      </c>
      <c r="L59" s="1">
        <f t="shared" si="2"/>
        <v>2.0739435199308844</v>
      </c>
      <c r="M59" s="27">
        <f t="shared" si="3"/>
        <v>1.8012022595640877</v>
      </c>
      <c r="N59" s="31">
        <f t="shared" si="10"/>
        <v>52.265787653651628</v>
      </c>
    </row>
    <row r="60" spans="1:14" x14ac:dyDescent="0.25">
      <c r="A60" s="121">
        <f t="shared" si="4"/>
        <v>78</v>
      </c>
      <c r="B60" s="136">
        <f>IF(A60&gt;200,"",IF($C$1='Adj-Mixed'!$A$21,VLOOKUP(A60,'337'!$A$6:$AB$188,3,FALSE),IF($C$1='Adj-Mixed'!$A$20,VLOOKUP(A60,'337'!$A$6:$AB$188,12,FALSE),IF($C$1='Adj-Mixed'!$A$19,VLOOKUP(A60,'337'!$A$6:$AB$188,21,FALSE)))))</f>
        <v>35.125666087424563</v>
      </c>
      <c r="C60" s="135">
        <f t="shared" si="8"/>
        <v>794.38641177690533</v>
      </c>
      <c r="D60" s="27">
        <f t="shared" si="6"/>
        <v>0.53787926929102925</v>
      </c>
      <c r="E60" s="27">
        <f>IF(A60&gt;200,"",IF($C$1='Adj-Mixed'!$A$21,VLOOKUP(A60,'337'!$A$7:$AB$188,9,FALSE),IF($C$1='Adj-Mixed'!$A$20,VLOOKUP(A60,'337'!$A$7:$AB$188,18,FALSE),IF($C$1='Adj-Mixed'!$A$19,VLOOKUP(A60,'337'!$A$7:$AB$188,27,FALSE)))))</f>
        <v>1.8591532655982173</v>
      </c>
      <c r="F60" s="27">
        <f t="shared" si="1"/>
        <v>1.4768860916018836</v>
      </c>
      <c r="G60" s="28">
        <f t="shared" si="9"/>
        <v>43.569345595254411</v>
      </c>
      <c r="H60" s="1"/>
      <c r="I60" s="136">
        <f t="shared" si="7"/>
        <v>38.203352804373694</v>
      </c>
      <c r="J60" s="26">
        <f>IF(A60&gt;200,"",C60*'Adj-Gilts'!$C$6)</f>
        <v>875.71919430396053</v>
      </c>
      <c r="K60" s="27">
        <f>IF(A60&gt;200,"",D60*'Adj-Gilts'!$C$7)</f>
        <v>0.47753441002309216</v>
      </c>
      <c r="L60" s="1">
        <f t="shared" si="2"/>
        <v>2.0940899315541324</v>
      </c>
      <c r="M60" s="27">
        <f t="shared" si="3"/>
        <v>1.8338347476606205</v>
      </c>
      <c r="N60" s="31">
        <f t="shared" si="10"/>
        <v>54.099622401312246</v>
      </c>
    </row>
    <row r="61" spans="1:14" x14ac:dyDescent="0.25">
      <c r="A61" s="121">
        <f t="shared" si="4"/>
        <v>79</v>
      </c>
      <c r="B61" s="136">
        <f>IF(A61&gt;200,"",IF($C$1='Adj-Mixed'!$A$21,VLOOKUP(A61,'337'!$A$6:$AB$188,3,FALSE),IF($C$1='Adj-Mixed'!$A$20,VLOOKUP(A61,'337'!$A$6:$AB$188,12,FALSE),IF($C$1='Adj-Mixed'!$A$19,VLOOKUP(A61,'337'!$A$6:$AB$188,21,FALSE)))))</f>
        <v>35.926468721988002</v>
      </c>
      <c r="C61" s="135">
        <f t="shared" si="8"/>
        <v>800.80263456343914</v>
      </c>
      <c r="D61" s="27">
        <f t="shared" si="6"/>
        <v>0.53280690649661633</v>
      </c>
      <c r="E61" s="27">
        <f>IF(A61&gt;200,"",IF($C$1='Adj-Mixed'!$A$21,VLOOKUP(A61,'337'!$A$7:$AB$188,9,FALSE),IF($C$1='Adj-Mixed'!$A$20,VLOOKUP(A61,'337'!$A$7:$AB$188,18,FALSE),IF($C$1='Adj-Mixed'!$A$19,VLOOKUP(A61,'337'!$A$7:$AB$188,27,FALSE)))))</f>
        <v>1.8768525479058344</v>
      </c>
      <c r="F61" s="27">
        <f t="shared" si="1"/>
        <v>1.5029884650500955</v>
      </c>
      <c r="G61" s="28">
        <f t="shared" si="9"/>
        <v>45.072334060304506</v>
      </c>
      <c r="H61" s="1"/>
      <c r="I61" s="136">
        <f t="shared" si="7"/>
        <v>39.086145142636056</v>
      </c>
      <c r="J61" s="26">
        <f>IF(A61&gt;200,"",C61*'Adj-Gilts'!$C$6)</f>
        <v>882.79233826236464</v>
      </c>
      <c r="K61" s="27">
        <f>IF(A61&gt;200,"",D61*'Adj-Gilts'!$C$7)</f>
        <v>0.47303111734619507</v>
      </c>
      <c r="L61" s="1">
        <f t="shared" si="2"/>
        <v>2.1140258290199005</v>
      </c>
      <c r="M61" s="27">
        <f t="shared" si="3"/>
        <v>1.8662458047475119</v>
      </c>
      <c r="N61" s="31">
        <f t="shared" si="10"/>
        <v>55.96586820605976</v>
      </c>
    </row>
    <row r="62" spans="1:14" x14ac:dyDescent="0.25">
      <c r="A62" s="121">
        <f t="shared" si="4"/>
        <v>80</v>
      </c>
      <c r="B62" s="136">
        <f>IF(A62&gt;200,"",IF($C$1='Adj-Mixed'!$A$21,VLOOKUP(A62,'337'!$A$6:$AB$188,3,FALSE),IF($C$1='Adj-Mixed'!$A$20,VLOOKUP(A62,'337'!$A$6:$AB$188,12,FALSE),IF($C$1='Adj-Mixed'!$A$19,VLOOKUP(A62,'337'!$A$6:$AB$188,21,FALSE)))))</f>
        <v>36.733547179355277</v>
      </c>
      <c r="C62" s="135">
        <f t="shared" si="8"/>
        <v>807.0784573672754</v>
      </c>
      <c r="D62" s="27">
        <f t="shared" si="6"/>
        <v>0.52788192988016081</v>
      </c>
      <c r="E62" s="27">
        <f>IF(A62&gt;200,"",IF($C$1='Adj-Mixed'!$A$21,VLOOKUP(A62,'337'!$A$7:$AB$188,9,FALSE),IF($C$1='Adj-Mixed'!$A$20,VLOOKUP(A62,'337'!$A$7:$AB$188,18,FALSE),IF($C$1='Adj-Mixed'!$A$19,VLOOKUP(A62,'337'!$A$7:$AB$188,27,FALSE)))))</f>
        <v>1.8943630069455475</v>
      </c>
      <c r="F62" s="27">
        <f t="shared" si="1"/>
        <v>1.5288995733392459</v>
      </c>
      <c r="G62" s="28">
        <f t="shared" si="9"/>
        <v>46.601233633643751</v>
      </c>
      <c r="H62" s="1"/>
      <c r="I62" s="136">
        <f t="shared" si="7"/>
        <v>39.975855850105006</v>
      </c>
      <c r="J62" s="26">
        <f>IF(A62&gt;200,"",C62*'Adj-Gilts'!$C$6)</f>
        <v>889.7107074689535</v>
      </c>
      <c r="K62" s="27">
        <f>IF(A62&gt;200,"",D62*'Adj-Gilts'!$C$7)</f>
        <v>0.46865867554151919</v>
      </c>
      <c r="L62" s="1">
        <f t="shared" si="2"/>
        <v>2.1337490420817109</v>
      </c>
      <c r="M62" s="27">
        <f t="shared" si="3"/>
        <v>1.8984193697917211</v>
      </c>
      <c r="N62" s="31">
        <f t="shared" si="10"/>
        <v>57.864287575851478</v>
      </c>
    </row>
    <row r="63" spans="1:14" x14ac:dyDescent="0.25">
      <c r="A63" s="121">
        <f t="shared" si="4"/>
        <v>81</v>
      </c>
      <c r="B63" s="136">
        <f>IF(A63&gt;200,"",IF($C$1='Adj-Mixed'!$A$21,VLOOKUP(A63,'337'!$A$6:$AB$188,3,FALSE),IF($C$1='Adj-Mixed'!$A$20,VLOOKUP(A63,'337'!$A$6:$AB$188,12,FALSE),IF($C$1='Adj-Mixed'!$A$19,VLOOKUP(A63,'337'!$A$6:$AB$188,21,FALSE)))))</f>
        <v>37.546760942573542</v>
      </c>
      <c r="C63" s="135">
        <f t="shared" si="8"/>
        <v>813.21376321826483</v>
      </c>
      <c r="D63" s="27">
        <f t="shared" si="6"/>
        <v>0.52309924723919776</v>
      </c>
      <c r="E63" s="27">
        <f>IF(A63&gt;200,"",IF($C$1='Adj-Mixed'!$A$21,VLOOKUP(A63,'337'!$A$7:$AB$188,9,FALSE),IF($C$1='Adj-Mixed'!$A$20,VLOOKUP(A63,'337'!$A$7:$AB$188,18,FALSE),IF($C$1='Adj-Mixed'!$A$19,VLOOKUP(A63,'337'!$A$7:$AB$188,27,FALSE)))))</f>
        <v>1.9116831180273706</v>
      </c>
      <c r="F63" s="27">
        <f t="shared" si="1"/>
        <v>1.5546070224918644</v>
      </c>
      <c r="G63" s="28">
        <f t="shared" si="9"/>
        <v>48.155840656135616</v>
      </c>
      <c r="H63" s="1"/>
      <c r="I63" s="136">
        <f t="shared" si="7"/>
        <v>40.872330023082661</v>
      </c>
      <c r="J63" s="26">
        <f>IF(A63&gt;200,"",C63*'Adj-Gilts'!$C$6)</f>
        <v>896.47417297765821</v>
      </c>
      <c r="K63" s="27">
        <f>IF(A63&gt;200,"",D63*'Adj-Gilts'!$C$7)</f>
        <v>0.46441256370253653</v>
      </c>
      <c r="L63" s="1">
        <f t="shared" si="2"/>
        <v>2.153257853378221</v>
      </c>
      <c r="M63" s="27">
        <f t="shared" si="3"/>
        <v>1.930340053314888</v>
      </c>
      <c r="N63" s="31">
        <f t="shared" si="10"/>
        <v>59.794627629166364</v>
      </c>
    </row>
    <row r="64" spans="1:14" x14ac:dyDescent="0.25">
      <c r="A64" s="121">
        <f t="shared" si="4"/>
        <v>82</v>
      </c>
      <c r="B64" s="136">
        <f>IF(A64&gt;200,"",IF($C$1='Adj-Mixed'!$A$21,VLOOKUP(A64,'337'!$A$6:$AB$188,3,FALSE),IF($C$1='Adj-Mixed'!$A$20,VLOOKUP(A64,'337'!$A$6:$AB$188,12,FALSE),IF($C$1='Adj-Mixed'!$A$19,VLOOKUP(A64,'337'!$A$6:$AB$188,21,FALSE)))))</f>
        <v>38.365969437516476</v>
      </c>
      <c r="C64" s="135">
        <f t="shared" si="8"/>
        <v>819.20849494293429</v>
      </c>
      <c r="D64" s="27">
        <f t="shared" si="6"/>
        <v>0.51845391289985943</v>
      </c>
      <c r="E64" s="27">
        <f>IF(A64&gt;200,"",IF($C$1='Adj-Mixed'!$A$21,VLOOKUP(A64,'337'!$A$7:$AB$188,9,FALSE),IF($C$1='Adj-Mixed'!$A$20,VLOOKUP(A64,'337'!$A$7:$AB$188,18,FALSE),IF($C$1='Adj-Mixed'!$A$19,VLOOKUP(A64,'337'!$A$7:$AB$188,27,FALSE)))))</f>
        <v>1.9288117518618328</v>
      </c>
      <c r="F64" s="27">
        <f t="shared" si="1"/>
        <v>1.5800989722709764</v>
      </c>
      <c r="G64" s="28">
        <f t="shared" si="9"/>
        <v>49.735939628406591</v>
      </c>
      <c r="H64" s="1"/>
      <c r="I64" s="136">
        <f t="shared" si="7"/>
        <v>41.775412694843993</v>
      </c>
      <c r="J64" s="26">
        <f>IF(A64&gt;200,"",C64*'Adj-Gilts'!$C$6)</f>
        <v>903.08267176133359</v>
      </c>
      <c r="K64" s="27">
        <f>IF(A64&gt;200,"",D64*'Adj-Gilts'!$C$7)</f>
        <v>0.46028839101222285</v>
      </c>
      <c r="L64" s="1">
        <f t="shared" si="2"/>
        <v>2.172550990914401</v>
      </c>
      <c r="M64" s="27">
        <f t="shared" si="3"/>
        <v>1.96199315341271</v>
      </c>
      <c r="N64" s="31">
        <f t="shared" si="10"/>
        <v>61.756620782579077</v>
      </c>
    </row>
    <row r="65" spans="1:14" x14ac:dyDescent="0.25">
      <c r="A65" s="121">
        <f t="shared" si="4"/>
        <v>83</v>
      </c>
      <c r="B65" s="136">
        <f>IF(A65&gt;200,"",IF($C$1='Adj-Mixed'!$A$21,VLOOKUP(A65,'337'!$A$6:$AB$188,3,FALSE),IF($C$1='Adj-Mixed'!$A$20,VLOOKUP(A65,'337'!$A$6:$AB$188,12,FALSE),IF($C$1='Adj-Mixed'!$A$19,VLOOKUP(A65,'337'!$A$6:$AB$188,21,FALSE)))))</f>
        <v>39.191032091654229</v>
      </c>
      <c r="C65" s="135">
        <f t="shared" si="8"/>
        <v>825.06265413775282</v>
      </c>
      <c r="D65" s="27">
        <f t="shared" si="6"/>
        <v>0.51394112395678737</v>
      </c>
      <c r="E65" s="27">
        <f>IF(A65&gt;200,"",IF($C$1='Adj-Mixed'!$A$21,VLOOKUP(A65,'337'!$A$7:$AB$188,9,FALSE),IF($C$1='Adj-Mixed'!$A$20,VLOOKUP(A65,'337'!$A$7:$AB$188,18,FALSE),IF($C$1='Adj-Mixed'!$A$19,VLOOKUP(A65,'337'!$A$7:$AB$188,27,FALSE)))))</f>
        <v>1.9457481672240746</v>
      </c>
      <c r="F65" s="27">
        <f t="shared" si="1"/>
        <v>1.6053641471335631</v>
      </c>
      <c r="G65" s="28">
        <f t="shared" si="9"/>
        <v>51.341303775540155</v>
      </c>
      <c r="H65" s="1"/>
      <c r="I65" s="136">
        <f t="shared" si="7"/>
        <v>42.684948900423898</v>
      </c>
      <c r="J65" s="26">
        <f>IF(A65&gt;200,"",C65*'Adj-Gilts'!$C$6)</f>
        <v>909.53620557990212</v>
      </c>
      <c r="K65" s="27">
        <f>IF(A65&gt;200,"",D65*'Adj-Gilts'!$C$7)</f>
        <v>0.45628189340481529</v>
      </c>
      <c r="L65" s="1">
        <f t="shared" si="2"/>
        <v>2.1916276197986133</v>
      </c>
      <c r="M65" s="27">
        <f t="shared" si="3"/>
        <v>1.9933646693557432</v>
      </c>
      <c r="N65" s="31">
        <f t="shared" si="10"/>
        <v>63.749985451934819</v>
      </c>
    </row>
    <row r="66" spans="1:14" x14ac:dyDescent="0.25">
      <c r="A66" s="121">
        <f t="shared" si="4"/>
        <v>84</v>
      </c>
      <c r="B66" s="136">
        <f>IF(A66&gt;200,"",IF($C$1='Adj-Mixed'!$A$21,VLOOKUP(A66,'337'!$A$6:$AB$188,3,FALSE),IF($C$1='Adj-Mixed'!$A$20,VLOOKUP(A66,'337'!$A$6:$AB$188,12,FALSE),IF($C$1='Adj-Mixed'!$A$19,VLOOKUP(A66,'337'!$A$6:$AB$188,21,FALSE)))))</f>
        <v>40.021808391772794</v>
      </c>
      <c r="C66" s="135">
        <f t="shared" si="8"/>
        <v>830.7763001185649</v>
      </c>
      <c r="D66" s="27">
        <f t="shared" si="6"/>
        <v>0.50955621652752947</v>
      </c>
      <c r="E66" s="27">
        <f>IF(A66&gt;200,"",IF($C$1='Adj-Mixed'!$A$21,VLOOKUP(A66,'337'!$A$7:$AB$188,9,FALSE),IF($C$1='Adj-Mixed'!$A$20,VLOOKUP(A66,'337'!$A$7:$AB$188,18,FALSE),IF($C$1='Adj-Mixed'!$A$19,VLOOKUP(A66,'337'!$A$7:$AB$188,27,FALSE)))))</f>
        <v>1.9624920029721069</v>
      </c>
      <c r="F66" s="27">
        <f t="shared" si="1"/>
        <v>1.6303918452414388</v>
      </c>
      <c r="G66" s="28">
        <f t="shared" si="9"/>
        <v>52.971695620781595</v>
      </c>
      <c r="H66" s="1"/>
      <c r="I66" s="136">
        <f t="shared" si="7"/>
        <v>43.600783740246122</v>
      </c>
      <c r="J66" s="26">
        <f>IF(A66&gt;200,"",C66*'Adj-Gilts'!$C$6)</f>
        <v>915.83483982222606</v>
      </c>
      <c r="K66" s="27">
        <f>IF(A66&gt;200,"",D66*'Adj-Gilts'!$C$7)</f>
        <v>0.45238893024042981</v>
      </c>
      <c r="L66" s="1">
        <f t="shared" si="2"/>
        <v>2.210487333252237</v>
      </c>
      <c r="M66" s="27">
        <f t="shared" si="3"/>
        <v>2.024441312778122</v>
      </c>
      <c r="N66" s="31">
        <f t="shared" si="10"/>
        <v>65.774426764712942</v>
      </c>
    </row>
    <row r="67" spans="1:14" x14ac:dyDescent="0.25">
      <c r="A67" s="121">
        <f t="shared" si="4"/>
        <v>85</v>
      </c>
      <c r="B67" s="136">
        <f>IF(A67&gt;200,"",IF($C$1='Adj-Mixed'!$A$21,VLOOKUP(A67,'337'!$A$6:$AB$188,3,FALSE),IF($C$1='Adj-Mixed'!$A$20,VLOOKUP(A67,'337'!$A$6:$AB$188,12,FALSE),IF($C$1='Adj-Mixed'!$A$19,VLOOKUP(A67,'337'!$A$6:$AB$188,21,FALSE)))))</f>
        <v>40.85815794062048</v>
      </c>
      <c r="C67" s="135">
        <f t="shared" si="8"/>
        <v>836.34954884768581</v>
      </c>
      <c r="D67" s="27">
        <f t="shared" si="6"/>
        <v>0.50566561397856047</v>
      </c>
      <c r="E67" s="27">
        <f>IF(A67&gt;200,"",IF($C$1='Adj-Mixed'!$A$21,VLOOKUP(A67,'337'!$A$7:$AB$188,9,FALSE),IF($C$1='Adj-Mixed'!$A$20,VLOOKUP(A67,'337'!$A$7:$AB$188,18,FALSE),IF($C$1='Adj-Mixed'!$A$19,VLOOKUP(A67,'337'!$A$7:$AB$188,27,FALSE)))))</f>
        <v>1.9775914603566433</v>
      </c>
      <c r="F67" s="27">
        <f t="shared" si="1"/>
        <v>1.6539577256743148</v>
      </c>
      <c r="G67" s="28">
        <f t="shared" si="9"/>
        <v>54.625653346455913</v>
      </c>
      <c r="H67" s="1"/>
      <c r="I67" s="136">
        <f t="shared" si="7"/>
        <v>44.522762442569473</v>
      </c>
      <c r="J67" s="26">
        <f>IF(A67&gt;200,"",C67*'Adj-Gilts'!$C$6)</f>
        <v>921.97870232335356</v>
      </c>
      <c r="K67" s="27">
        <f>IF(A67&gt;200,"",D67*'Adj-Gilts'!$C$7)</f>
        <v>0.44893481572267729</v>
      </c>
      <c r="L67" s="1">
        <f t="shared" si="2"/>
        <v>2.2274948722572119</v>
      </c>
      <c r="M67" s="27">
        <f t="shared" si="3"/>
        <v>2.0537028317556283</v>
      </c>
      <c r="N67" s="31">
        <f t="shared" si="10"/>
        <v>67.828129596468571</v>
      </c>
    </row>
    <row r="68" spans="1:14" x14ac:dyDescent="0.25">
      <c r="A68" s="121">
        <f t="shared" si="4"/>
        <v>86</v>
      </c>
      <c r="B68" s="136">
        <f>IF(A68&gt;200,"",IF($C$1='Adj-Mixed'!$A$21,VLOOKUP(A68,'337'!$A$6:$AB$188,3,FALSE),IF($C$1='Adj-Mixed'!$A$20,VLOOKUP(A68,'337'!$A$6:$AB$188,12,FALSE),IF($C$1='Adj-Mixed'!$A$19,VLOOKUP(A68,'337'!$A$6:$AB$188,21,FALSE)))))</f>
        <v>41.699940512460387</v>
      </c>
      <c r="C68" s="135">
        <f t="shared" si="8"/>
        <v>841.78257183990718</v>
      </c>
      <c r="D68" s="27">
        <f t="shared" si="6"/>
        <v>0.50278972988855597</v>
      </c>
      <c r="E68" s="27">
        <f>IF(A68&gt;200,"",IF($C$1='Adj-Mixed'!$A$21,VLOOKUP(A68,'337'!$A$7:$AB$188,9,FALSE),IF($C$1='Adj-Mixed'!$A$20,VLOOKUP(A68,'337'!$A$7:$AB$188,18,FALSE),IF($C$1='Adj-Mixed'!$A$19,VLOOKUP(A68,'337'!$A$7:$AB$188,27,FALSE)))))</f>
        <v>1.9889029957347208</v>
      </c>
      <c r="F68" s="27">
        <f t="shared" ref="F68:F131" si="11">IF(A68&gt;200,"",(E68*C68)/1000)</f>
        <v>1.6742238788896693</v>
      </c>
      <c r="G68" s="28">
        <f t="shared" si="9"/>
        <v>56.299877225345583</v>
      </c>
      <c r="H68" s="1"/>
      <c r="I68" s="136">
        <f t="shared" si="7"/>
        <v>45.450730424727986</v>
      </c>
      <c r="J68" s="26">
        <f>IF(A68&gt;200,"",C68*'Adj-Gilts'!$C$6)</f>
        <v>927.96798215851663</v>
      </c>
      <c r="K68" s="27">
        <f>IF(A68&gt;200,"",D68*'Adj-Gilts'!$C$7)</f>
        <v>0.44638157805277184</v>
      </c>
      <c r="L68" s="1">
        <f t="shared" ref="L68:L131" si="12">IF(A68&gt;200,"",1/K68)</f>
        <v>2.2402358187859148</v>
      </c>
      <c r="M68" s="27">
        <f t="shared" ref="M68:M131" si="13">IF(A68&gt;200,"",(J68/1000)/K68)</f>
        <v>2.0788671123179974</v>
      </c>
      <c r="N68" s="31">
        <f t="shared" si="10"/>
        <v>69.906996708786565</v>
      </c>
    </row>
    <row r="69" spans="1:14" x14ac:dyDescent="0.25">
      <c r="A69" s="121">
        <f t="shared" ref="A69:A132" si="14">A68+1</f>
        <v>87</v>
      </c>
      <c r="B69" s="136">
        <f>IF(A69&gt;200,"",IF($C$1='Adj-Mixed'!$A$21,VLOOKUP(A69,'337'!$A$6:$AB$188,3,FALSE),IF($C$1='Adj-Mixed'!$A$20,VLOOKUP(A69,'337'!$A$6:$AB$188,12,FALSE),IF($C$1='Adj-Mixed'!$A$19,VLOOKUP(A69,'337'!$A$6:$AB$188,21,FALSE)))))</f>
        <v>42.547016107509243</v>
      </c>
      <c r="C69" s="135">
        <f t="shared" ref="C69:C132" si="15">IF(A69&gt;200,"",(B69-B68)*1000)</f>
        <v>847.07559504885671</v>
      </c>
      <c r="D69" s="27">
        <f t="shared" ref="D69:D132" si="16">IF(A69&gt;200,"",1/E69)</f>
        <v>0.49995806405493187</v>
      </c>
      <c r="E69" s="27">
        <f>IF(A69&gt;200,"",IF($C$1='Adj-Mixed'!$A$21,VLOOKUP(A69,'337'!$A$7:$AB$188,9,FALSE),IF($C$1='Adj-Mixed'!$A$20,VLOOKUP(A69,'337'!$A$7:$AB$188,18,FALSE),IF($C$1='Adj-Mixed'!$A$19,VLOOKUP(A69,'337'!$A$7:$AB$188,27,FALSE)))))</f>
        <v>2.0001677578504404</v>
      </c>
      <c r="F69" s="27">
        <f t="shared" si="11"/>
        <v>1.6942932936786994</v>
      </c>
      <c r="G69" s="28">
        <f t="shared" si="9"/>
        <v>57.99417051902428</v>
      </c>
      <c r="H69" s="1"/>
      <c r="I69" s="136">
        <f t="shared" ref="I69:I132" si="17">IF(A69&gt;200,"",I68+(J69/1000))</f>
        <v>46.38453335314346</v>
      </c>
      <c r="J69" s="26">
        <f>IF(A69&gt;200,"",C69*'Adj-Gilts'!$C$6)</f>
        <v>933.80292841547146</v>
      </c>
      <c r="K69" s="27">
        <f>IF(A69&gt;200,"",D69*'Adj-Gilts'!$C$7)</f>
        <v>0.44386759777793322</v>
      </c>
      <c r="L69" s="1">
        <f t="shared" si="12"/>
        <v>2.2529240814291192</v>
      </c>
      <c r="M69" s="27">
        <f t="shared" si="13"/>
        <v>2.1037871047362477</v>
      </c>
      <c r="N69" s="31">
        <f t="shared" si="10"/>
        <v>72.010783813522806</v>
      </c>
    </row>
    <row r="70" spans="1:14" x14ac:dyDescent="0.25">
      <c r="A70" s="121">
        <f t="shared" si="14"/>
        <v>88</v>
      </c>
      <c r="B70" s="136">
        <f>IF(A70&gt;200,"",IF($C$1='Adj-Mixed'!$A$21,VLOOKUP(A70,'337'!$A$6:$AB$188,3,FALSE),IF($C$1='Adj-Mixed'!$A$20,VLOOKUP(A70,'337'!$A$6:$AB$188,12,FALSE),IF($C$1='Adj-Mixed'!$A$19,VLOOKUP(A70,'337'!$A$6:$AB$188,21,FALSE)))))</f>
        <v>43.399245005244268</v>
      </c>
      <c r="C70" s="135">
        <f t="shared" si="15"/>
        <v>852.22889773502425</v>
      </c>
      <c r="D70" s="27">
        <f t="shared" si="16"/>
        <v>0.49716900154988691</v>
      </c>
      <c r="E70" s="27">
        <f>IF(A70&gt;200,"",IF($C$1='Adj-Mixed'!$A$21,VLOOKUP(A70,'337'!$A$7:$AB$188,9,FALSE),IF($C$1='Adj-Mixed'!$A$20,VLOOKUP(A70,'337'!$A$7:$AB$188,18,FALSE),IF($C$1='Adj-Mixed'!$A$19,VLOOKUP(A70,'337'!$A$7:$AB$188,27,FALSE)))))</f>
        <v>2.0113884753123692</v>
      </c>
      <c r="F70" s="27">
        <f t="shared" si="11"/>
        <v>1.7141633832323915</v>
      </c>
      <c r="G70" s="28">
        <f t="shared" ref="G70:G133" si="18">IF(A70&gt;200,"",F70+G69)</f>
        <v>59.708333902256669</v>
      </c>
      <c r="H70" s="1"/>
      <c r="I70" s="136">
        <f t="shared" si="17"/>
        <v>47.32401720209009</v>
      </c>
      <c r="J70" s="26">
        <f>IF(A70&gt;200,"",C70*'Adj-Gilts'!$C$6)</f>
        <v>939.48384894662786</v>
      </c>
      <c r="K70" s="27">
        <f>IF(A70&gt;200,"",D70*'Adj-Gilts'!$C$7)</f>
        <v>0.44139144114966294</v>
      </c>
      <c r="L70" s="1">
        <f t="shared" si="12"/>
        <v>2.2655627336030042</v>
      </c>
      <c r="M70" s="27">
        <f t="shared" si="13"/>
        <v>2.1284595969953943</v>
      </c>
      <c r="N70" s="31">
        <f t="shared" ref="N70:N133" si="19">IF(A70&gt;200,"",N69+M70)</f>
        <v>74.139243410518205</v>
      </c>
    </row>
    <row r="71" spans="1:14" x14ac:dyDescent="0.25">
      <c r="A71" s="121">
        <f t="shared" si="14"/>
        <v>89</v>
      </c>
      <c r="B71" s="136">
        <f>IF(A71&gt;200,"",IF($C$1='Adj-Mixed'!$A$21,VLOOKUP(A71,'337'!$A$6:$AB$188,3,FALSE),IF($C$1='Adj-Mixed'!$A$20,VLOOKUP(A71,'337'!$A$6:$AB$188,12,FALSE),IF($C$1='Adj-Mixed'!$A$19,VLOOKUP(A71,'337'!$A$6:$AB$188,21,FALSE)))))</f>
        <v>44.256487816561354</v>
      </c>
      <c r="C71" s="135">
        <f t="shared" si="15"/>
        <v>857.24281131708585</v>
      </c>
      <c r="D71" s="27">
        <f t="shared" si="16"/>
        <v>0.4944209811939107</v>
      </c>
      <c r="E71" s="27">
        <f>IF(A71&gt;200,"",IF($C$1='Adj-Mixed'!$A$21,VLOOKUP(A71,'337'!$A$7:$AB$188,9,FALSE),IF($C$1='Adj-Mixed'!$A$20,VLOOKUP(A71,'337'!$A$7:$AB$188,18,FALSE),IF($C$1='Adj-Mixed'!$A$19,VLOOKUP(A71,'337'!$A$7:$AB$188,27,FALSE)))))</f>
        <v>2.0225678885738922</v>
      </c>
      <c r="F71" s="27">
        <f t="shared" si="11"/>
        <v>1.7338317828807457</v>
      </c>
      <c r="G71" s="28">
        <f t="shared" si="18"/>
        <v>61.442165685137418</v>
      </c>
      <c r="H71" s="1"/>
      <c r="I71" s="136">
        <f t="shared" si="17"/>
        <v>48.269028311192855</v>
      </c>
      <c r="J71" s="26">
        <f>IF(A71&gt;200,"",C71*'Adj-Gilts'!$C$6)</f>
        <v>945.0111091027668</v>
      </c>
      <c r="K71" s="27">
        <f>IF(A71&gt;200,"",D71*'Adj-Gilts'!$C$7)</f>
        <v>0.43895172213771394</v>
      </c>
      <c r="L71" s="1">
        <f t="shared" si="12"/>
        <v>2.2781548620653691</v>
      </c>
      <c r="M71" s="27">
        <f t="shared" si="13"/>
        <v>2.1528816529082553</v>
      </c>
      <c r="N71" s="31">
        <f t="shared" si="19"/>
        <v>76.292125063426454</v>
      </c>
    </row>
    <row r="72" spans="1:14" x14ac:dyDescent="0.25">
      <c r="A72" s="121">
        <f t="shared" si="14"/>
        <v>90</v>
      </c>
      <c r="B72" s="136">
        <f>IF(A72&gt;200,"",IF($C$1='Adj-Mixed'!$A$21,VLOOKUP(A72,'337'!$A$6:$AB$188,3,FALSE),IF($C$1='Adj-Mixed'!$A$20,VLOOKUP(A72,'337'!$A$6:$AB$188,12,FALSE),IF($C$1='Adj-Mixed'!$A$19,VLOOKUP(A72,'337'!$A$6:$AB$188,21,FALSE)))))</f>
        <v>45.118605534768442</v>
      </c>
      <c r="C72" s="135">
        <f t="shared" si="15"/>
        <v>862.11771820708805</v>
      </c>
      <c r="D72" s="27">
        <f t="shared" si="16"/>
        <v>0.49171249411168705</v>
      </c>
      <c r="E72" s="27">
        <f>IF(A72&gt;200,"",IF($C$1='Adj-Mixed'!$A$21,VLOOKUP(A72,'337'!$A$7:$AB$188,9,FALSE),IF($C$1='Adj-Mixed'!$A$20,VLOOKUP(A72,'337'!$A$7:$AB$188,18,FALSE),IF($C$1='Adj-Mixed'!$A$19,VLOOKUP(A72,'337'!$A$7:$AB$188,27,FALSE)))))</f>
        <v>2.0337087464221746</v>
      </c>
      <c r="F72" s="27">
        <f t="shared" si="11"/>
        <v>1.7532963439632827</v>
      </c>
      <c r="G72" s="28">
        <f t="shared" si="18"/>
        <v>63.195462029100703</v>
      </c>
      <c r="H72" s="1"/>
      <c r="I72" s="136">
        <f t="shared" si="17"/>
        <v>49.219413441641819</v>
      </c>
      <c r="J72" s="26">
        <f>IF(A72&gt;200,"",C72*'Adj-Gilts'!$C$6)</f>
        <v>950.38513044896581</v>
      </c>
      <c r="K72" s="27">
        <f>IF(A72&gt;200,"",D72*'Adj-Gilts'!$C$7)</f>
        <v>0.43654710114800815</v>
      </c>
      <c r="L72" s="1">
        <f t="shared" si="12"/>
        <v>2.2907035629609123</v>
      </c>
      <c r="M72" s="27">
        <f t="shared" si="13"/>
        <v>2.177050604504517</v>
      </c>
      <c r="N72" s="31">
        <f t="shared" si="19"/>
        <v>78.469175667930969</v>
      </c>
    </row>
    <row r="73" spans="1:14" x14ac:dyDescent="0.25">
      <c r="A73" s="121">
        <f t="shared" si="14"/>
        <v>91</v>
      </c>
      <c r="B73" s="136">
        <f>IF(A73&gt;200,"",IF($C$1='Adj-Mixed'!$A$21,VLOOKUP(A73,'337'!$A$6:$AB$188,3,FALSE),IF($C$1='Adj-Mixed'!$A$20,VLOOKUP(A73,'337'!$A$6:$AB$188,12,FALSE),IF($C$1='Adj-Mixed'!$A$19,VLOOKUP(A73,'337'!$A$6:$AB$188,21,FALSE)))))</f>
        <v>45.985459585400783</v>
      </c>
      <c r="C73" s="135">
        <f t="shared" si="15"/>
        <v>866.854050632341</v>
      </c>
      <c r="D73" s="27">
        <f t="shared" si="16"/>
        <v>0.48904208230247398</v>
      </c>
      <c r="E73" s="27">
        <f>IF(A73&gt;200,"",IF($C$1='Adj-Mixed'!$A$21,VLOOKUP(A73,'337'!$A$7:$AB$188,9,FALSE),IF($C$1='Adj-Mixed'!$A$20,VLOOKUP(A73,'337'!$A$7:$AB$188,18,FALSE),IF($C$1='Adj-Mixed'!$A$19,VLOOKUP(A73,'337'!$A$7:$AB$188,27,FALSE)))))</f>
        <v>2.0448138027138061</v>
      </c>
      <c r="F73" s="27">
        <f t="shared" si="11"/>
        <v>1.7725551276713833</v>
      </c>
      <c r="G73" s="28">
        <f t="shared" si="18"/>
        <v>64.968017156772092</v>
      </c>
      <c r="H73" s="1"/>
      <c r="I73" s="136">
        <f t="shared" si="17"/>
        <v>50.17501983110769</v>
      </c>
      <c r="J73" s="26">
        <f>IF(A73&gt;200,"",C73*'Adj-Gilts'!$C$6)</f>
        <v>955.60638946587244</v>
      </c>
      <c r="K73" s="27">
        <f>IF(A73&gt;200,"",D73*'Adj-Gilts'!$C$7)</f>
        <v>0.43417628375340561</v>
      </c>
      <c r="L73" s="1">
        <f t="shared" si="12"/>
        <v>2.3032119381443672</v>
      </c>
      <c r="M73" s="27">
        <f t="shared" si="13"/>
        <v>2.2009640443848326</v>
      </c>
      <c r="N73" s="31">
        <f t="shared" si="19"/>
        <v>80.670139712315802</v>
      </c>
    </row>
    <row r="74" spans="1:14" x14ac:dyDescent="0.25">
      <c r="A74" s="121">
        <f t="shared" si="14"/>
        <v>92</v>
      </c>
      <c r="B74" s="136">
        <f>IF(A74&gt;200,"",IF($C$1='Adj-Mixed'!$A$21,VLOOKUP(A74,'337'!$A$6:$AB$188,3,FALSE),IF($C$1='Adj-Mixed'!$A$20,VLOOKUP(A74,'337'!$A$6:$AB$188,12,FALSE),IF($C$1='Adj-Mixed'!$A$19,VLOOKUP(A74,'337'!$A$6:$AB$188,21,FALSE)))))</f>
        <v>46.856911874844606</v>
      </c>
      <c r="C74" s="135">
        <f t="shared" si="15"/>
        <v>871.45228944382325</v>
      </c>
      <c r="D74" s="27">
        <f t="shared" si="16"/>
        <v>0.48640833722826132</v>
      </c>
      <c r="E74" s="27">
        <f>IF(A74&gt;200,"",IF($C$1='Adj-Mixed'!$A$21,VLOOKUP(A74,'337'!$A$7:$AB$188,9,FALSE),IF($C$1='Adj-Mixed'!$A$20,VLOOKUP(A74,'337'!$A$7:$AB$188,18,FALSE),IF($C$1='Adj-Mixed'!$A$19,VLOOKUP(A74,'337'!$A$7:$AB$188,27,FALSE)))))</f>
        <v>2.0558858133443563</v>
      </c>
      <c r="F74" s="27">
        <f t="shared" si="11"/>
        <v>1.7916063988740158</v>
      </c>
      <c r="G74" s="28">
        <f t="shared" si="18"/>
        <v>66.759623555646101</v>
      </c>
      <c r="H74" s="1"/>
      <c r="I74" s="136">
        <f t="shared" si="17"/>
        <v>51.135695247343797</v>
      </c>
      <c r="J74" s="26">
        <f>IF(A74&gt;200,"",C74*'Adj-Gilts'!$C$6)</f>
        <v>960.67541623610794</v>
      </c>
      <c r="K74" s="27">
        <f>IF(A74&gt;200,"",D74*'Adj-Gilts'!$C$7)</f>
        <v>0.43183801944025757</v>
      </c>
      <c r="L74" s="1">
        <f t="shared" si="12"/>
        <v>2.3156830917671076</v>
      </c>
      <c r="M74" s="27">
        <f t="shared" si="13"/>
        <v>2.2246198180542835</v>
      </c>
      <c r="N74" s="31">
        <f t="shared" si="19"/>
        <v>82.894759530370081</v>
      </c>
    </row>
    <row r="75" spans="1:14" x14ac:dyDescent="0.25">
      <c r="A75" s="121">
        <f t="shared" si="14"/>
        <v>93</v>
      </c>
      <c r="B75" s="136">
        <f>IF(A75&gt;200,"",IF($C$1='Adj-Mixed'!$A$21,VLOOKUP(A75,'337'!$A$6:$AB$188,3,FALSE),IF($C$1='Adj-Mixed'!$A$20,VLOOKUP(A75,'337'!$A$6:$AB$188,12,FALSE),IF($C$1='Adj-Mixed'!$A$19,VLOOKUP(A75,'337'!$A$6:$AB$188,21,FALSE)))))</f>
        <v>47.732824837758137</v>
      </c>
      <c r="C75" s="135">
        <f t="shared" si="15"/>
        <v>875.9129629135316</v>
      </c>
      <c r="D75" s="27">
        <f t="shared" si="16"/>
        <v>0.4838098984237274</v>
      </c>
      <c r="E75" s="27">
        <f>IF(A75&gt;200,"",IF($C$1='Adj-Mixed'!$A$21,VLOOKUP(A75,'337'!$A$7:$AB$188,9,FALSE),IF($C$1='Adj-Mixed'!$A$20,VLOOKUP(A75,'337'!$A$7:$AB$188,18,FALSE),IF($C$1='Adj-Mixed'!$A$19,VLOOKUP(A75,'337'!$A$7:$AB$188,27,FALSE)))))</f>
        <v>2.0669275334341881</v>
      </c>
      <c r="F75" s="27">
        <f t="shared" si="11"/>
        <v>1.8104486199378973</v>
      </c>
      <c r="G75" s="28">
        <f t="shared" si="18"/>
        <v>68.570072175584002</v>
      </c>
      <c r="H75" s="1"/>
      <c r="I75" s="136">
        <f t="shared" si="17"/>
        <v>52.101288040462279</v>
      </c>
      <c r="J75" s="26">
        <f>IF(A75&gt;200,"",C75*'Adj-Gilts'!$C$6)</f>
        <v>965.59279311848479</v>
      </c>
      <c r="K75" s="27">
        <f>IF(A75&gt;200,"",D75*'Adj-Gilts'!$C$7)</f>
        <v>0.42953110037431225</v>
      </c>
      <c r="L75" s="1">
        <f t="shared" si="12"/>
        <v>2.3281201271073413</v>
      </c>
      <c r="M75" s="27">
        <f t="shared" si="13"/>
        <v>2.2480160162489393</v>
      </c>
      <c r="N75" s="31">
        <f t="shared" si="19"/>
        <v>85.142775546619021</v>
      </c>
    </row>
    <row r="76" spans="1:14" x14ac:dyDescent="0.25">
      <c r="A76" s="121">
        <f t="shared" si="14"/>
        <v>94</v>
      </c>
      <c r="B76" s="136">
        <f>IF(A76&gt;200,"",IF($C$1='Adj-Mixed'!$A$21,VLOOKUP(A76,'337'!$A$6:$AB$188,3,FALSE),IF($C$1='Adj-Mixed'!$A$20,VLOOKUP(A76,'337'!$A$6:$AB$188,12,FALSE),IF($C$1='Adj-Mixed'!$A$19,VLOOKUP(A76,'337'!$A$6:$AB$188,21,FALSE)))))</f>
        <v>48.61306148328017</v>
      </c>
      <c r="C76" s="135">
        <f t="shared" si="15"/>
        <v>880.23664552203229</v>
      </c>
      <c r="D76" s="27">
        <f t="shared" si="16"/>
        <v>0.48124545213063158</v>
      </c>
      <c r="E76" s="27">
        <f>IF(A76&gt;200,"",IF($C$1='Adj-Mixed'!$A$21,VLOOKUP(A76,'337'!$A$7:$AB$188,9,FALSE),IF($C$1='Adj-Mixed'!$A$20,VLOOKUP(A76,'337'!$A$7:$AB$188,18,FALSE),IF($C$1='Adj-Mixed'!$A$19,VLOOKUP(A76,'337'!$A$7:$AB$188,27,FALSE)))))</f>
        <v>2.0779417147168284</v>
      </c>
      <c r="F76" s="27">
        <f t="shared" si="11"/>
        <v>1.8290804445526407</v>
      </c>
      <c r="G76" s="28">
        <f t="shared" si="18"/>
        <v>70.399152620136647</v>
      </c>
      <c r="H76" s="1"/>
      <c r="I76" s="136">
        <f t="shared" si="17"/>
        <v>53.071647193873702</v>
      </c>
      <c r="J76" s="26">
        <f>IF(A76&gt;200,"",C76*'Adj-Gilts'!$C$6)</f>
        <v>970.35915341142197</v>
      </c>
      <c r="K76" s="27">
        <f>IF(A76&gt;200,"",D76*'Adj-Gilts'!$C$7)</f>
        <v>0.42725436018831559</v>
      </c>
      <c r="L76" s="1">
        <f t="shared" si="12"/>
        <v>2.3405261436284523</v>
      </c>
      <c r="M76" s="27">
        <f t="shared" si="13"/>
        <v>2.2711509672686052</v>
      </c>
      <c r="N76" s="31">
        <f t="shared" si="19"/>
        <v>87.413926513887631</v>
      </c>
    </row>
    <row r="77" spans="1:14" x14ac:dyDescent="0.25">
      <c r="A77" s="121">
        <f t="shared" si="14"/>
        <v>95</v>
      </c>
      <c r="B77" s="136">
        <f>IF(A77&gt;200,"",IF($C$1='Adj-Mixed'!$A$21,VLOOKUP(A77,'337'!$A$6:$AB$188,3,FALSE),IF($C$1='Adj-Mixed'!$A$20,VLOOKUP(A77,'337'!$A$6:$AB$188,12,FALSE),IF($C$1='Adj-Mixed'!$A$19,VLOOKUP(A77,'337'!$A$6:$AB$188,21,FALSE)))))</f>
        <v>49.497485440016874</v>
      </c>
      <c r="C77" s="135">
        <f t="shared" si="15"/>
        <v>884.42395673670399</v>
      </c>
      <c r="D77" s="27">
        <f t="shared" si="16"/>
        <v>0.47871372995827577</v>
      </c>
      <c r="E77" s="27">
        <f>IF(A77&gt;200,"",IF($C$1='Adj-Mixed'!$A$21,VLOOKUP(A77,'337'!$A$7:$AB$188,9,FALSE),IF($C$1='Adj-Mixed'!$A$20,VLOOKUP(A77,'337'!$A$7:$AB$188,18,FALSE),IF($C$1='Adj-Mixed'!$A$19,VLOOKUP(A77,'337'!$A$7:$AB$188,27,FALSE)))))</f>
        <v>2.0889311031191</v>
      </c>
      <c r="F77" s="27">
        <f t="shared" si="11"/>
        <v>1.8475007115709623</v>
      </c>
      <c r="G77" s="28">
        <f t="shared" si="18"/>
        <v>72.246653331707606</v>
      </c>
      <c r="H77" s="1"/>
      <c r="I77" s="136">
        <f t="shared" si="17"/>
        <v>54.046622373879799</v>
      </c>
      <c r="J77" s="26">
        <f>IF(A77&gt;200,"",C77*'Adj-Gilts'!$C$6)</f>
        <v>974.97518000609898</v>
      </c>
      <c r="K77" s="27">
        <f>IF(A77&gt;200,"",D77*'Adj-Gilts'!$C$7)</f>
        <v>0.42500667279275584</v>
      </c>
      <c r="L77" s="1">
        <f t="shared" si="12"/>
        <v>2.3529042342533422</v>
      </c>
      <c r="M77" s="27">
        <f t="shared" si="13"/>
        <v>2.294023229328265</v>
      </c>
      <c r="N77" s="31">
        <f t="shared" si="19"/>
        <v>89.707949743215892</v>
      </c>
    </row>
    <row r="78" spans="1:14" x14ac:dyDescent="0.25">
      <c r="A78" s="121">
        <f t="shared" si="14"/>
        <v>96</v>
      </c>
      <c r="B78" s="136">
        <f>IF(A78&gt;200,"",IF($C$1='Adj-Mixed'!$A$21,VLOOKUP(A78,'337'!$A$6:$AB$188,3,FALSE),IF($C$1='Adj-Mixed'!$A$20,VLOOKUP(A78,'337'!$A$6:$AB$188,12,FALSE),IF($C$1='Adj-Mixed'!$A$19,VLOOKUP(A78,'337'!$A$6:$AB$188,21,FALSE)))))</f>
        <v>50.385960999800552</v>
      </c>
      <c r="C78" s="135">
        <f t="shared" si="15"/>
        <v>888.47555978367859</v>
      </c>
      <c r="D78" s="27">
        <f t="shared" si="16"/>
        <v>0.47621350757257053</v>
      </c>
      <c r="E78" s="27">
        <f>IF(A78&gt;200,"",IF($C$1='Adj-Mixed'!$A$21,VLOOKUP(A78,'337'!$A$7:$AB$188,9,FALSE),IF($C$1='Adj-Mixed'!$A$20,VLOOKUP(A78,'337'!$A$7:$AB$188,18,FALSE),IF($C$1='Adj-Mixed'!$A$19,VLOOKUP(A78,'337'!$A$7:$AB$188,27,FALSE)))))</f>
        <v>2.0998984365171736</v>
      </c>
      <c r="F78" s="27">
        <f t="shared" si="11"/>
        <v>1.8657084388734673</v>
      </c>
      <c r="G78" s="28">
        <f t="shared" si="18"/>
        <v>74.112361770581074</v>
      </c>
      <c r="H78" s="1"/>
      <c r="I78" s="136">
        <f t="shared" si="17"/>
        <v>55.026063977912465</v>
      </c>
      <c r="J78" s="26">
        <f>IF(A78&gt;200,"",C78*'Adj-Gilts'!$C$6)</f>
        <v>979.44160403266255</v>
      </c>
      <c r="K78" s="27">
        <f>IF(A78&gt;200,"",D78*'Adj-Gilts'!$C$7)</f>
        <v>0.4227869512120041</v>
      </c>
      <c r="L78" s="1">
        <f t="shared" si="12"/>
        <v>2.3652574828369186</v>
      </c>
      <c r="M78" s="27">
        <f t="shared" si="13"/>
        <v>2.3166315829400497</v>
      </c>
      <c r="N78" s="31">
        <f t="shared" si="19"/>
        <v>92.024581326155939</v>
      </c>
    </row>
    <row r="79" spans="1:14" x14ac:dyDescent="0.25">
      <c r="A79" s="121">
        <f t="shared" si="14"/>
        <v>97</v>
      </c>
      <c r="B79" s="136">
        <f>IF(A79&gt;200,"",IF($C$1='Adj-Mixed'!$A$21,VLOOKUP(A79,'337'!$A$6:$AB$188,3,FALSE),IF($C$1='Adj-Mixed'!$A$20,VLOOKUP(A79,'337'!$A$6:$AB$188,12,FALSE),IF($C$1='Adj-Mixed'!$A$19,VLOOKUP(A79,'337'!$A$6:$AB$188,21,FALSE)))))</f>
        <v>51.278353160213292</v>
      </c>
      <c r="C79" s="135">
        <f t="shared" si="15"/>
        <v>892.39216041274005</v>
      </c>
      <c r="D79" s="27">
        <f t="shared" si="16"/>
        <v>0.47374360341375171</v>
      </c>
      <c r="E79" s="27">
        <f>IF(A79&gt;200,"",IF($C$1='Adj-Mixed'!$A$21,VLOOKUP(A79,'337'!$A$7:$AB$188,9,FALSE),IF($C$1='Adj-Mixed'!$A$20,VLOOKUP(A79,'337'!$A$7:$AB$188,18,FALSE),IF($C$1='Adj-Mixed'!$A$19,VLOOKUP(A79,'337'!$A$7:$AB$188,27,FALSE)))))</f>
        <v>2.1108464426624325</v>
      </c>
      <c r="F79" s="27">
        <f t="shared" si="11"/>
        <v>1.8837028172670753</v>
      </c>
      <c r="G79" s="28">
        <f t="shared" si="18"/>
        <v>75.996064587848153</v>
      </c>
      <c r="H79" s="1"/>
      <c r="I79" s="136">
        <f t="shared" si="17"/>
        <v>56.009823181411136</v>
      </c>
      <c r="J79" s="26">
        <f>IF(A79&gt;200,"",C79*'Adj-Gilts'!$C$6)</f>
        <v>983.75920349867079</v>
      </c>
      <c r="K79" s="27">
        <f>IF(A79&gt;200,"",D79*'Adj-Gilts'!$C$7)</f>
        <v>0.42059414644589038</v>
      </c>
      <c r="L79" s="1">
        <f t="shared" si="12"/>
        <v>2.3775889618298587</v>
      </c>
      <c r="M79" s="27">
        <f t="shared" si="13"/>
        <v>2.3389750233369733</v>
      </c>
      <c r="N79" s="31">
        <f t="shared" si="19"/>
        <v>94.36355634949291</v>
      </c>
    </row>
    <row r="80" spans="1:14" x14ac:dyDescent="0.25">
      <c r="A80" s="121">
        <f t="shared" si="14"/>
        <v>98</v>
      </c>
      <c r="B80" s="136">
        <f>IF(A80&gt;200,"",IF($C$1='Adj-Mixed'!$A$21,VLOOKUP(A80,'337'!$A$6:$AB$188,3,FALSE),IF($C$1='Adj-Mixed'!$A$20,VLOOKUP(A80,'337'!$A$6:$AB$188,12,FALSE),IF($C$1='Adj-Mixed'!$A$19,VLOOKUP(A80,'337'!$A$6:$AB$188,21,FALSE)))))</f>
        <v>52.174527665871928</v>
      </c>
      <c r="C80" s="135">
        <f t="shared" si="15"/>
        <v>896.17450565863521</v>
      </c>
      <c r="D80" s="27">
        <f t="shared" si="16"/>
        <v>0.47130287744474264</v>
      </c>
      <c r="E80" s="27">
        <f>IF(A80&gt;200,"",IF($C$1='Adj-Mixed'!$A$21,VLOOKUP(A80,'337'!$A$7:$AB$188,9,FALSE),IF($C$1='Adj-Mixed'!$A$20,VLOOKUP(A80,'337'!$A$7:$AB$188,18,FALSE),IF($C$1='Adj-Mixed'!$A$19,VLOOKUP(A80,'337'!$A$7:$AB$188,27,FALSE)))))</f>
        <v>2.1217778372618654</v>
      </c>
      <c r="F80" s="27">
        <f t="shared" si="11"/>
        <v>1.9014832044256005</v>
      </c>
      <c r="G80" s="28">
        <f t="shared" si="18"/>
        <v>77.897547792273755</v>
      </c>
      <c r="H80" s="1"/>
      <c r="I80" s="136">
        <f t="shared" si="17"/>
        <v>56.997751983334716</v>
      </c>
      <c r="J80" s="26">
        <f>IF(A80&gt;200,"",C80*'Adj-Gilts'!$C$6)</f>
        <v>987.92880192358052</v>
      </c>
      <c r="K80" s="27">
        <f>IF(A80&gt;200,"",D80*'Adj-Gilts'!$C$7)</f>
        <v>0.41842724635848777</v>
      </c>
      <c r="L80" s="1">
        <f t="shared" si="12"/>
        <v>2.3899017301164216</v>
      </c>
      <c r="M80" s="27">
        <f t="shared" si="13"/>
        <v>2.3610527529490084</v>
      </c>
      <c r="N80" s="31">
        <f t="shared" si="19"/>
        <v>96.724609102441917</v>
      </c>
    </row>
    <row r="81" spans="1:14" x14ac:dyDescent="0.25">
      <c r="A81" s="121">
        <f t="shared" si="14"/>
        <v>99</v>
      </c>
      <c r="B81" s="136">
        <f>IF(A81&gt;200,"",IF($C$1='Adj-Mixed'!$A$21,VLOOKUP(A81,'337'!$A$6:$AB$188,3,FALSE),IF($C$1='Adj-Mixed'!$A$20,VLOOKUP(A81,'337'!$A$6:$AB$188,12,FALSE),IF($C$1='Adj-Mixed'!$A$19,VLOOKUP(A81,'337'!$A$6:$AB$188,21,FALSE)))))</f>
        <v>53.074351048470028</v>
      </c>
      <c r="C81" s="135">
        <f t="shared" si="15"/>
        <v>899.82338259810035</v>
      </c>
      <c r="D81" s="27">
        <f t="shared" si="16"/>
        <v>0.46889022992960389</v>
      </c>
      <c r="E81" s="27">
        <f>IF(A81&gt;200,"",IF($C$1='Adj-Mixed'!$A$21,VLOOKUP(A81,'337'!$A$7:$AB$188,9,FALSE),IF($C$1='Adj-Mixed'!$A$20,VLOOKUP(A81,'337'!$A$7:$AB$188,18,FALSE),IF($C$1='Adj-Mixed'!$A$19,VLOOKUP(A81,'337'!$A$7:$AB$188,27,FALSE)))))</f>
        <v>2.1326953222082139</v>
      </c>
      <c r="F81" s="27">
        <f t="shared" si="11"/>
        <v>1.9190491188805405</v>
      </c>
      <c r="G81" s="28">
        <f t="shared" si="18"/>
        <v>79.816596911154292</v>
      </c>
      <c r="H81" s="1"/>
      <c r="I81" s="136">
        <f t="shared" si="17"/>
        <v>57.989703250303229</v>
      </c>
      <c r="J81" s="26">
        <f>IF(A81&gt;200,"",C81*'Adj-Gilts'!$C$6)</f>
        <v>991.95126696851401</v>
      </c>
      <c r="K81" s="27">
        <f>IF(A81&gt;200,"",D81*'Adj-Gilts'!$C$7)</f>
        <v>0.41628527459360815</v>
      </c>
      <c r="L81" s="1">
        <f t="shared" si="12"/>
        <v>2.4021988310209483</v>
      </c>
      <c r="M81" s="27">
        <f t="shared" si="13"/>
        <v>2.3828641739415128</v>
      </c>
      <c r="N81" s="31">
        <f t="shared" si="19"/>
        <v>99.107473276383431</v>
      </c>
    </row>
    <row r="82" spans="1:14" x14ac:dyDescent="0.25">
      <c r="A82" s="121">
        <f t="shared" si="14"/>
        <v>100</v>
      </c>
      <c r="B82" s="136">
        <f>IF(A82&gt;200,"",IF($C$1='Adj-Mixed'!$A$21,VLOOKUP(A82,'337'!$A$6:$AB$188,3,FALSE),IF($C$1='Adj-Mixed'!$A$20,VLOOKUP(A82,'337'!$A$6:$AB$188,12,FALSE),IF($C$1='Adj-Mixed'!$A$19,VLOOKUP(A82,'337'!$A$6:$AB$188,21,FALSE)))))</f>
        <v>53.977690665575516</v>
      </c>
      <c r="C82" s="135">
        <f t="shared" si="15"/>
        <v>903.33961710548749</v>
      </c>
      <c r="D82" s="27">
        <f t="shared" si="16"/>
        <v>0.4665046002432105</v>
      </c>
      <c r="E82" s="27">
        <f>IF(A82&gt;200,"",IF($C$1='Adj-Mixed'!$A$21,VLOOKUP(A82,'337'!$A$7:$AB$188,9,FALSE),IF($C$1='Adj-Mixed'!$A$20,VLOOKUP(A82,'337'!$A$7:$AB$188,18,FALSE),IF($C$1='Adj-Mixed'!$A$19,VLOOKUP(A82,'337'!$A$7:$AB$188,27,FALSE)))))</f>
        <v>2.1436015839471971</v>
      </c>
      <c r="F82" s="27">
        <f t="shared" si="11"/>
        <v>1.9364002340695776</v>
      </c>
      <c r="G82" s="28">
        <f t="shared" si="18"/>
        <v>81.752997145223873</v>
      </c>
      <c r="H82" s="1"/>
      <c r="I82" s="136">
        <f t="shared" si="17"/>
        <v>58.985530759367705</v>
      </c>
      <c r="J82" s="26">
        <f>IF(A82&gt;200,"",C82*'Adj-Gilts'!$C$6)</f>
        <v>995.82750906447973</v>
      </c>
      <c r="K82" s="27">
        <f>IF(A82&gt;200,"",D82*'Adj-Gilts'!$C$7)</f>
        <v>0.41416728951802229</v>
      </c>
      <c r="L82" s="1">
        <f t="shared" si="12"/>
        <v>2.414483290468755</v>
      </c>
      <c r="M82" s="27">
        <f t="shared" si="13"/>
        <v>2.4044088808253088</v>
      </c>
      <c r="N82" s="31">
        <f t="shared" si="19"/>
        <v>101.51188215720875</v>
      </c>
    </row>
    <row r="83" spans="1:14" x14ac:dyDescent="0.25">
      <c r="A83" s="121">
        <f t="shared" si="14"/>
        <v>101</v>
      </c>
      <c r="B83" s="136">
        <f>IF(A83&gt;200,"",IF($C$1='Adj-Mixed'!$A$21,VLOOKUP(A83,'337'!$A$6:$AB$188,3,FALSE),IF($C$1='Adj-Mixed'!$A$20,VLOOKUP(A83,'337'!$A$6:$AB$188,12,FALSE),IF($C$1='Adj-Mixed'!$A$19,VLOOKUP(A83,'337'!$A$6:$AB$188,21,FALSE)))))</f>
        <v>54.884414738182727</v>
      </c>
      <c r="C83" s="135">
        <f t="shared" si="15"/>
        <v>906.72407260721138</v>
      </c>
      <c r="D83" s="27">
        <f t="shared" si="16"/>
        <v>0.46414496571165798</v>
      </c>
      <c r="E83" s="27">
        <f>IF(A83&gt;200,"",IF($C$1='Adj-Mixed'!$A$21,VLOOKUP(A83,'337'!$A$7:$AB$188,9,FALSE),IF($C$1='Adj-Mixed'!$A$20,VLOOKUP(A83,'337'!$A$7:$AB$188,18,FALSE),IF($C$1='Adj-Mixed'!$A$19,VLOOKUP(A83,'337'!$A$7:$AB$188,27,FALSE)))))</f>
        <v>2.1544992919760175</v>
      </c>
      <c r="F83" s="27">
        <f t="shared" si="11"/>
        <v>1.953536372449848</v>
      </c>
      <c r="G83" s="28">
        <f t="shared" si="18"/>
        <v>83.706533517673719</v>
      </c>
      <c r="H83" s="1"/>
      <c r="I83" s="136">
        <f t="shared" si="17"/>
        <v>59.985089239407003</v>
      </c>
      <c r="J83" s="26">
        <f>IF(A83&gt;200,"",C83*'Adj-Gilts'!$C$6)</f>
        <v>999.55848003929498</v>
      </c>
      <c r="K83" s="27">
        <f>IF(A83&gt;200,"",D83*'Adj-Gilts'!$C$7)</f>
        <v>0.41207238319196088</v>
      </c>
      <c r="L83" s="1">
        <f t="shared" si="12"/>
        <v>2.426758115294898</v>
      </c>
      <c r="M83" s="27">
        <f t="shared" si="13"/>
        <v>2.4256866531471921</v>
      </c>
      <c r="N83" s="31">
        <f t="shared" si="19"/>
        <v>103.93756881035594</v>
      </c>
    </row>
    <row r="84" spans="1:14" x14ac:dyDescent="0.25">
      <c r="A84" s="121">
        <f t="shared" si="14"/>
        <v>102</v>
      </c>
      <c r="B84" s="136">
        <f>IF(A84&gt;200,"",IF($C$1='Adj-Mixed'!$A$21,VLOOKUP(A84,'337'!$A$6:$AB$188,3,FALSE),IF($C$1='Adj-Mixed'!$A$20,VLOOKUP(A84,'337'!$A$6:$AB$188,12,FALSE),IF($C$1='Adj-Mixed'!$A$19,VLOOKUP(A84,'337'!$A$6:$AB$188,21,FALSE)))))</f>
        <v>55.794392387019265</v>
      </c>
      <c r="C84" s="135">
        <f t="shared" si="15"/>
        <v>909.97764883653781</v>
      </c>
      <c r="D84" s="27">
        <f t="shared" si="16"/>
        <v>0.4618103404834395</v>
      </c>
      <c r="E84" s="27">
        <f>IF(A84&gt;200,"",IF($C$1='Adj-Mixed'!$A$21,VLOOKUP(A84,'337'!$A$7:$AB$188,9,FALSE),IF($C$1='Adj-Mixed'!$A$20,VLOOKUP(A84,'337'!$A$7:$AB$188,18,FALSE),IF($C$1='Adj-Mixed'!$A$19,VLOOKUP(A84,'337'!$A$7:$AB$188,27,FALSE)))))</f>
        <v>2.1653910974647395</v>
      </c>
      <c r="F84" s="27">
        <f t="shared" si="11"/>
        <v>1.9704574996825337</v>
      </c>
      <c r="G84" s="28">
        <f t="shared" si="18"/>
        <v>85.676991017356258</v>
      </c>
      <c r="H84" s="1"/>
      <c r="I84" s="136">
        <f t="shared" si="17"/>
        <v>60.988234411151886</v>
      </c>
      <c r="J84" s="26">
        <f>IF(A84&gt;200,"",C84*'Adj-Gilts'!$C$6)</f>
        <v>1003.1451717448832</v>
      </c>
      <c r="K84" s="27">
        <f>IF(A84&gt;200,"",D84*'Adj-Gilts'!$C$7)</f>
        <v>0.40999968036693507</v>
      </c>
      <c r="L84" s="1">
        <f t="shared" si="12"/>
        <v>2.4390262916913392</v>
      </c>
      <c r="M84" s="27">
        <f t="shared" si="13"/>
        <v>2.4466974482689938</v>
      </c>
      <c r="N84" s="31">
        <f t="shared" si="19"/>
        <v>106.38426625862493</v>
      </c>
    </row>
    <row r="85" spans="1:14" x14ac:dyDescent="0.25">
      <c r="A85" s="121">
        <f t="shared" si="14"/>
        <v>103</v>
      </c>
      <c r="B85" s="136">
        <f>IF(A85&gt;200,"",IF($C$1='Adj-Mixed'!$A$21,VLOOKUP(A85,'337'!$A$6:$AB$188,3,FALSE),IF($C$1='Adj-Mixed'!$A$20,VLOOKUP(A85,'337'!$A$6:$AB$188,12,FALSE),IF($C$1='Adj-Mixed'!$A$19,VLOOKUP(A85,'337'!$A$6:$AB$188,21,FALSE)))))</f>
        <v>56.707493667609555</v>
      </c>
      <c r="C85" s="135">
        <f t="shared" si="15"/>
        <v>913.10128059028989</v>
      </c>
      <c r="D85" s="27">
        <f t="shared" si="16"/>
        <v>0.45949977443132367</v>
      </c>
      <c r="E85" s="27">
        <f>IF(A85&gt;200,"",IF($C$1='Adj-Mixed'!$A$21,VLOOKUP(A85,'337'!$A$7:$AB$188,9,FALSE),IF($C$1='Adj-Mixed'!$A$20,VLOOKUP(A85,'337'!$A$7:$AB$188,18,FALSE),IF($C$1='Adj-Mixed'!$A$19,VLOOKUP(A85,'337'!$A$7:$AB$188,27,FALSE)))))</f>
        <v>2.1762796319924176</v>
      </c>
      <c r="F85" s="27">
        <f t="shared" si="11"/>
        <v>1.9871637188948414</v>
      </c>
      <c r="G85" s="28">
        <f t="shared" si="18"/>
        <v>87.664154736251106</v>
      </c>
      <c r="H85" s="1"/>
      <c r="I85" s="136">
        <f t="shared" si="17"/>
        <v>61.994823025838571</v>
      </c>
      <c r="J85" s="26">
        <f>IF(A85&gt;200,"",C85*'Adj-Gilts'!$C$6)</f>
        <v>1006.588614686687</v>
      </c>
      <c r="K85" s="27">
        <f>IF(A85&gt;200,"",D85*'Adj-Gilts'!$C$7)</f>
        <v>0.40794833751081266</v>
      </c>
      <c r="L85" s="1">
        <f t="shared" si="12"/>
        <v>2.4512907837833633</v>
      </c>
      <c r="M85" s="27">
        <f t="shared" si="13"/>
        <v>2.4674413942427393</v>
      </c>
      <c r="N85" s="31">
        <f t="shared" si="19"/>
        <v>108.85170765286767</v>
      </c>
    </row>
    <row r="86" spans="1:14" x14ac:dyDescent="0.25">
      <c r="A86" s="121">
        <f t="shared" si="14"/>
        <v>104</v>
      </c>
      <c r="B86" s="136">
        <f>IF(A86&gt;200,"",IF($C$1='Adj-Mixed'!$A$21,VLOOKUP(A86,'337'!$A$6:$AB$188,3,FALSE),IF($C$1='Adj-Mixed'!$A$20,VLOOKUP(A86,'337'!$A$6:$AB$188,12,FALSE),IF($C$1='Adj-Mixed'!$A$19,VLOOKUP(A86,'337'!$A$6:$AB$188,21,FALSE)))))</f>
        <v>57.623589604097106</v>
      </c>
      <c r="C86" s="135">
        <f t="shared" si="15"/>
        <v>916.09593648755094</v>
      </c>
      <c r="D86" s="27">
        <f t="shared" si="16"/>
        <v>0.45721235208399086</v>
      </c>
      <c r="E86" s="27">
        <f>IF(A86&gt;200,"",IF($C$1='Adj-Mixed'!$A$21,VLOOKUP(A86,'337'!$A$7:$AB$188,9,FALSE),IF($C$1='Adj-Mixed'!$A$20,VLOOKUP(A86,'337'!$A$7:$AB$188,18,FALSE),IF($C$1='Adj-Mixed'!$A$19,VLOOKUP(A86,'337'!$A$7:$AB$188,27,FALSE)))))</f>
        <v>2.1871675063938296</v>
      </c>
      <c r="F86" s="27">
        <f t="shared" si="11"/>
        <v>2.0036552650249968</v>
      </c>
      <c r="G86" s="28">
        <f t="shared" si="18"/>
        <v>89.667810001276109</v>
      </c>
      <c r="H86" s="1"/>
      <c r="I86" s="136">
        <f t="shared" si="17"/>
        <v>63.00471290249385</v>
      </c>
      <c r="J86" s="26">
        <f>IF(A86&gt;200,"",C86*'Adj-Gilts'!$C$6)</f>
        <v>1009.8898766552812</v>
      </c>
      <c r="K86" s="27">
        <f>IF(A86&gt;200,"",D86*'Adj-Gilts'!$C$7)</f>
        <v>0.4059175418593145</v>
      </c>
      <c r="L86" s="1">
        <f t="shared" si="12"/>
        <v>2.4635545323305745</v>
      </c>
      <c r="M86" s="27">
        <f t="shared" si="13"/>
        <v>2.4879187827888831</v>
      </c>
      <c r="N86" s="31">
        <f t="shared" si="19"/>
        <v>111.33962643565656</v>
      </c>
    </row>
    <row r="87" spans="1:14" x14ac:dyDescent="0.25">
      <c r="A87" s="121">
        <f t="shared" si="14"/>
        <v>105</v>
      </c>
      <c r="B87" s="136">
        <f>IF(A87&gt;200,"",IF($C$1='Adj-Mixed'!$A$21,VLOOKUP(A87,'337'!$A$6:$AB$188,3,FALSE),IF($C$1='Adj-Mixed'!$A$20,VLOOKUP(A87,'337'!$A$6:$AB$188,12,FALSE),IF($C$1='Adj-Mixed'!$A$19,VLOOKUP(A87,'337'!$A$6:$AB$188,21,FALSE)))))</f>
        <v>58.542552221830348</v>
      </c>
      <c r="C87" s="135">
        <f t="shared" si="15"/>
        <v>918.96261773324284</v>
      </c>
      <c r="D87" s="27">
        <f t="shared" si="16"/>
        <v>0.45494719158783908</v>
      </c>
      <c r="E87" s="27">
        <f>IF(A87&gt;200,"",IF($C$1='Adj-Mixed'!$A$21,VLOOKUP(A87,'337'!$A$7:$AB$188,9,FALSE),IF($C$1='Adj-Mixed'!$A$20,VLOOKUP(A87,'337'!$A$7:$AB$188,18,FALSE),IF($C$1='Adj-Mixed'!$A$19,VLOOKUP(A87,'337'!$A$7:$AB$188,27,FALSE)))))</f>
        <v>2.1980573097062952</v>
      </c>
      <c r="F87" s="27">
        <f t="shared" si="11"/>
        <v>2.0199324992553862</v>
      </c>
      <c r="G87" s="28">
        <f t="shared" si="18"/>
        <v>91.687742500531499</v>
      </c>
      <c r="H87" s="1"/>
      <c r="I87" s="136">
        <f t="shared" si="17"/>
        <v>64.017762963857209</v>
      </c>
      <c r="J87" s="26">
        <f>IF(A87&gt;200,"",C87*'Adj-Gilts'!$C$6)</f>
        <v>1013.0500613633608</v>
      </c>
      <c r="K87" s="27">
        <f>IF(A87&gt;200,"",D87*'Adj-Gilts'!$C$7)</f>
        <v>0.4039065104942961</v>
      </c>
      <c r="L87" s="1">
        <f t="shared" si="12"/>
        <v>2.4758204535406265</v>
      </c>
      <c r="M87" s="27">
        <f t="shared" si="13"/>
        <v>2.5081300623839957</v>
      </c>
      <c r="N87" s="31">
        <f t="shared" si="19"/>
        <v>113.84775649804055</v>
      </c>
    </row>
    <row r="88" spans="1:14" x14ac:dyDescent="0.25">
      <c r="A88" s="121">
        <f t="shared" si="14"/>
        <v>106</v>
      </c>
      <c r="B88" s="136">
        <f>IF(A88&gt;200,"",IF($C$1='Adj-Mixed'!$A$21,VLOOKUP(A88,'337'!$A$6:$AB$188,3,FALSE),IF($C$1='Adj-Mixed'!$A$20,VLOOKUP(A88,'337'!$A$6:$AB$188,12,FALSE),IF($C$1='Adj-Mixed'!$A$19,VLOOKUP(A88,'337'!$A$6:$AB$188,21,FALSE)))))</f>
        <v>59.464254578715838</v>
      </c>
      <c r="C88" s="135">
        <f t="shared" si="15"/>
        <v>921.70235688548985</v>
      </c>
      <c r="D88" s="27">
        <f t="shared" si="16"/>
        <v>0.45270344369729032</v>
      </c>
      <c r="E88" s="27">
        <f>IF(A88&gt;200,"",IF($C$1='Adj-Mixed'!$A$21,VLOOKUP(A88,'337'!$A$7:$AB$188,9,FALSE),IF($C$1='Adj-Mixed'!$A$20,VLOOKUP(A88,'337'!$A$7:$AB$188,18,FALSE),IF($C$1='Adj-Mixed'!$A$19,VLOOKUP(A88,'337'!$A$7:$AB$188,27,FALSE)))))</f>
        <v>2.2089516082158878</v>
      </c>
      <c r="F88" s="27">
        <f t="shared" si="11"/>
        <v>2.0359959035385766</v>
      </c>
      <c r="G88" s="28">
        <f t="shared" si="18"/>
        <v>93.723738404070076</v>
      </c>
      <c r="H88" s="1"/>
      <c r="I88" s="136">
        <f t="shared" si="17"/>
        <v>65.033833270944115</v>
      </c>
      <c r="J88" s="26">
        <f>IF(A88&gt;200,"",C88*'Adj-Gilts'!$C$6)</f>
        <v>1016.0703070869024</v>
      </c>
      <c r="K88" s="27">
        <f>IF(A88&gt;200,"",D88*'Adj-Gilts'!$C$7)</f>
        <v>0.40191448944733132</v>
      </c>
      <c r="L88" s="1">
        <f t="shared" si="12"/>
        <v>2.4880914379949082</v>
      </c>
      <c r="M88" s="27">
        <f t="shared" si="13"/>
        <v>2.528075831463779</v>
      </c>
      <c r="N88" s="31">
        <f t="shared" si="19"/>
        <v>116.37583232950433</v>
      </c>
    </row>
    <row r="89" spans="1:14" x14ac:dyDescent="0.25">
      <c r="A89" s="121">
        <f t="shared" si="14"/>
        <v>107</v>
      </c>
      <c r="B89" s="136">
        <f>IF(A89&gt;200,"",IF($C$1='Adj-Mixed'!$A$21,VLOOKUP(A89,'337'!$A$6:$AB$188,3,FALSE),IF($C$1='Adj-Mixed'!$A$20,VLOOKUP(A89,'337'!$A$6:$AB$188,12,FALSE),IF($C$1='Adj-Mixed'!$A$19,VLOOKUP(A89,'337'!$A$6:$AB$188,21,FALSE)))))</f>
        <v>60.388570795345473</v>
      </c>
      <c r="C89" s="135">
        <f t="shared" si="15"/>
        <v>924.31621662963437</v>
      </c>
      <c r="D89" s="27">
        <f t="shared" si="16"/>
        <v>0.45048029079389651</v>
      </c>
      <c r="E89" s="27">
        <f>IF(A89&gt;200,"",IF($C$1='Adj-Mixed'!$A$21,VLOOKUP(A89,'337'!$A$7:$AB$188,9,FALSE),IF($C$1='Adj-Mixed'!$A$20,VLOOKUP(A89,'337'!$A$7:$AB$188,18,FALSE),IF($C$1='Adj-Mixed'!$A$19,VLOOKUP(A89,'337'!$A$7:$AB$188,27,FALSE)))))</f>
        <v>2.2198529445931285</v>
      </c>
      <c r="F89" s="27">
        <f t="shared" si="11"/>
        <v>2.0518460752204737</v>
      </c>
      <c r="G89" s="28">
        <f t="shared" si="18"/>
        <v>95.775584479290544</v>
      </c>
      <c r="H89" s="1"/>
      <c r="I89" s="136">
        <f t="shared" si="17"/>
        <v>66.052785056257775</v>
      </c>
      <c r="J89" s="26">
        <f>IF(A89&gt;200,"",C89*'Adj-Gilts'!$C$6)</f>
        <v>1018.9517853136582</v>
      </c>
      <c r="K89" s="27">
        <f>IF(A89&gt;200,"",D89*'Adj-Gilts'!$C$7)</f>
        <v>0.3999407528288656</v>
      </c>
      <c r="L89" s="1">
        <f t="shared" si="12"/>
        <v>2.5003703496750163</v>
      </c>
      <c r="M89" s="27">
        <f t="shared" si="13"/>
        <v>2.5477568317466939</v>
      </c>
      <c r="N89" s="31">
        <f t="shared" si="19"/>
        <v>118.92358916125103</v>
      </c>
    </row>
    <row r="90" spans="1:14" x14ac:dyDescent="0.25">
      <c r="A90" s="121">
        <f t="shared" si="14"/>
        <v>108</v>
      </c>
      <c r="B90" s="136">
        <f>IF(A90&gt;200,"",IF($C$1='Adj-Mixed'!$A$21,VLOOKUP(A90,'337'!$A$6:$AB$188,3,FALSE),IF($C$1='Adj-Mixed'!$A$20,VLOOKUP(A90,'337'!$A$6:$AB$188,12,FALSE),IF($C$1='Adj-Mixed'!$A$19,VLOOKUP(A90,'337'!$A$6:$AB$188,21,FALSE)))))</f>
        <v>61.315376083904901</v>
      </c>
      <c r="C90" s="135">
        <f t="shared" si="15"/>
        <v>926.80528855942862</v>
      </c>
      <c r="D90" s="27">
        <f t="shared" si="16"/>
        <v>0.44827694593331802</v>
      </c>
      <c r="E90" s="27">
        <f>IF(A90&gt;200,"",IF($C$1='Adj-Mixed'!$A$21,VLOOKUP(A90,'337'!$A$7:$AB$188,9,FALSE),IF($C$1='Adj-Mixed'!$A$20,VLOOKUP(A90,'337'!$A$7:$AB$188,18,FALSE),IF($C$1='Adj-Mixed'!$A$19,VLOOKUP(A90,'337'!$A$7:$AB$188,27,FALSE)))))</f>
        <v>2.2307638371141034</v>
      </c>
      <c r="F90" s="27">
        <f t="shared" si="11"/>
        <v>2.067483721764475</v>
      </c>
      <c r="G90" s="28">
        <f t="shared" si="18"/>
        <v>97.843068201055019</v>
      </c>
      <c r="H90" s="1"/>
      <c r="I90" s="136">
        <f t="shared" si="17"/>
        <v>67.074480755657333</v>
      </c>
      <c r="J90" s="26">
        <f>IF(A90&gt;200,"",C90*'Adj-Gilts'!$C$6)</f>
        <v>1021.6956993995605</v>
      </c>
      <c r="K90" s="27">
        <f>IF(A90&gt;200,"",D90*'Adj-Gilts'!$C$7)</f>
        <v>0.39798460198211405</v>
      </c>
      <c r="L90" s="1">
        <f t="shared" si="12"/>
        <v>2.5126600250854461</v>
      </c>
      <c r="M90" s="27">
        <f t="shared" si="13"/>
        <v>2.5671739416829924</v>
      </c>
      <c r="N90" s="31">
        <f t="shared" si="19"/>
        <v>121.49076310293403</v>
      </c>
    </row>
    <row r="91" spans="1:14" x14ac:dyDescent="0.25">
      <c r="A91" s="121">
        <f t="shared" si="14"/>
        <v>109</v>
      </c>
      <c r="B91" s="136">
        <f>IF(A91&gt;200,"",IF($C$1='Adj-Mixed'!$A$21,VLOOKUP(A91,'337'!$A$6:$AB$188,3,FALSE),IF($C$1='Adj-Mixed'!$A$20,VLOOKUP(A91,'337'!$A$6:$AB$188,12,FALSE),IF($C$1='Adj-Mixed'!$A$19,VLOOKUP(A91,'337'!$A$6:$AB$188,21,FALSE)))))</f>
        <v>62.244546775870234</v>
      </c>
      <c r="C91" s="135">
        <f t="shared" si="15"/>
        <v>929.17069196533225</v>
      </c>
      <c r="D91" s="27">
        <f t="shared" si="16"/>
        <v>0.44609265191895947</v>
      </c>
      <c r="E91" s="27">
        <f>IF(A91&gt;200,"",IF($C$1='Adj-Mixed'!$A$21,VLOOKUP(A91,'337'!$A$7:$AB$188,9,FALSE),IF($C$1='Adj-Mixed'!$A$20,VLOOKUP(A91,'337'!$A$7:$AB$188,18,FALSE),IF($C$1='Adj-Mixed'!$A$19,VLOOKUP(A91,'337'!$A$7:$AB$188,27,FALSE)))))</f>
        <v>2.2416867789646253</v>
      </c>
      <c r="F91" s="27">
        <f t="shared" si="11"/>
        <v>2.0829096555800981</v>
      </c>
      <c r="G91" s="28">
        <f t="shared" si="18"/>
        <v>99.925977856635114</v>
      </c>
      <c r="H91" s="1"/>
      <c r="I91" s="136">
        <f t="shared" si="17"/>
        <v>68.098784038890287</v>
      </c>
      <c r="J91" s="26">
        <f>IF(A91&gt;200,"",C91*'Adj-Gilts'!$C$6)</f>
        <v>1024.30328323296</v>
      </c>
      <c r="K91" s="27">
        <f>IF(A91&gt;200,"",D91*'Adj-Gilts'!$C$7)</f>
        <v>0.39604536466062634</v>
      </c>
      <c r="L91" s="1">
        <f t="shared" si="12"/>
        <v>2.5249632724698241</v>
      </c>
      <c r="M91" s="27">
        <f t="shared" si="13"/>
        <v>2.5863281700334797</v>
      </c>
      <c r="N91" s="31">
        <f t="shared" si="19"/>
        <v>124.07709127296751</v>
      </c>
    </row>
    <row r="92" spans="1:14" x14ac:dyDescent="0.25">
      <c r="A92" s="121">
        <f t="shared" si="14"/>
        <v>110</v>
      </c>
      <c r="B92" s="136">
        <f>IF(A92&gt;200,"",IF($C$1='Adj-Mixed'!$A$21,VLOOKUP(A92,'337'!$A$6:$AB$188,3,FALSE),IF($C$1='Adj-Mixed'!$A$20,VLOOKUP(A92,'337'!$A$6:$AB$188,12,FALSE),IF($C$1='Adj-Mixed'!$A$19,VLOOKUP(A92,'337'!$A$6:$AB$188,21,FALSE)))))</f>
        <v>63.175960348502919</v>
      </c>
      <c r="C92" s="135">
        <f t="shared" si="15"/>
        <v>931.41357263268537</v>
      </c>
      <c r="D92" s="27">
        <f t="shared" si="16"/>
        <v>0.44392668040244265</v>
      </c>
      <c r="E92" s="27">
        <f>IF(A92&gt;200,"",IF($C$1='Adj-Mixed'!$A$21,VLOOKUP(A92,'337'!$A$7:$AB$188,9,FALSE),IF($C$1='Adj-Mixed'!$A$20,VLOOKUP(A92,'337'!$A$7:$AB$188,18,FALSE),IF($C$1='Adj-Mixed'!$A$19,VLOOKUP(A92,'337'!$A$7:$AB$188,27,FALSE)))))</f>
        <v>2.2526242376183561</v>
      </c>
      <c r="F92" s="27">
        <f t="shared" si="11"/>
        <v>2.0981247889590922</v>
      </c>
      <c r="G92" s="28">
        <f t="shared" si="18"/>
        <v>102.02410264559421</v>
      </c>
      <c r="H92" s="1"/>
      <c r="I92" s="136">
        <f t="shared" si="17"/>
        <v>69.125559838800044</v>
      </c>
      <c r="J92" s="26">
        <f>IF(A92&gt;200,"",C92*'Adj-Gilts'!$C$6)</f>
        <v>1026.775799909751</v>
      </c>
      <c r="K92" s="27">
        <f>IF(A92&gt;200,"",D92*'Adj-Gilts'!$C$7)</f>
        <v>0.39412239422967815</v>
      </c>
      <c r="L92" s="1">
        <f t="shared" si="12"/>
        <v>2.537282871110444</v>
      </c>
      <c r="M92" s="27">
        <f t="shared" si="13"/>
        <v>2.6052206495817352</v>
      </c>
      <c r="N92" s="31">
        <f t="shared" si="19"/>
        <v>126.68231192254925</v>
      </c>
    </row>
    <row r="93" spans="1:14" x14ac:dyDescent="0.25">
      <c r="A93" s="121">
        <f t="shared" si="14"/>
        <v>111</v>
      </c>
      <c r="B93" s="136">
        <f>IF(A93&gt;200,"",IF($C$1='Adj-Mixed'!$A$21,VLOOKUP(A93,'337'!$A$6:$AB$188,3,FALSE),IF($C$1='Adj-Mixed'!$A$20,VLOOKUP(A93,'337'!$A$6:$AB$188,12,FALSE),IF($C$1='Adj-Mixed'!$A$19,VLOOKUP(A93,'337'!$A$6:$AB$188,21,FALSE)))))</f>
        <v>64.10949545015221</v>
      </c>
      <c r="C93" s="135">
        <f t="shared" si="15"/>
        <v>933.53510164929071</v>
      </c>
      <c r="D93" s="27">
        <f t="shared" si="16"/>
        <v>0.44177833100949426</v>
      </c>
      <c r="E93" s="27">
        <f>IF(A93&gt;200,"",IF($C$1='Adj-Mixed'!$A$21,VLOOKUP(A93,'337'!$A$7:$AB$188,9,FALSE),IF($C$1='Adj-Mixed'!$A$20,VLOOKUP(A93,'337'!$A$7:$AB$188,18,FALSE),IF($C$1='Adj-Mixed'!$A$19,VLOOKUP(A93,'337'!$A$7:$AB$188,27,FALSE)))))</f>
        <v>2.2635786542878424</v>
      </c>
      <c r="F93" s="27">
        <f t="shared" si="11"/>
        <v>2.1131301291217657</v>
      </c>
      <c r="G93" s="28">
        <f t="shared" si="18"/>
        <v>104.13723277471598</v>
      </c>
      <c r="H93" s="1"/>
      <c r="I93" s="136">
        <f t="shared" si="17"/>
        <v>70.154674379218918</v>
      </c>
      <c r="J93" s="26">
        <f>IF(A93&gt;200,"",C93*'Adj-Gilts'!$C$6)</f>
        <v>1029.1145404188671</v>
      </c>
      <c r="K93" s="27">
        <f>IF(A93&gt;200,"",D93*'Adj-Gilts'!$C$7)</f>
        <v>0.39221506889022545</v>
      </c>
      <c r="L93" s="1">
        <f t="shared" si="12"/>
        <v>2.5496215707099301</v>
      </c>
      <c r="M93" s="27">
        <f t="shared" si="13"/>
        <v>2.6238526309831798</v>
      </c>
      <c r="N93" s="31">
        <f t="shared" si="19"/>
        <v>129.30616455353243</v>
      </c>
    </row>
    <row r="94" spans="1:14" x14ac:dyDescent="0.25">
      <c r="A94" s="121">
        <f t="shared" si="14"/>
        <v>112</v>
      </c>
      <c r="B94" s="136">
        <f>IF(A94&gt;200,"",IF($C$1='Adj-Mixed'!$A$21,VLOOKUP(A94,'337'!$A$6:$AB$188,3,FALSE),IF($C$1='Adj-Mixed'!$A$20,VLOOKUP(A94,'337'!$A$6:$AB$188,12,FALSE),IF($C$1='Adj-Mixed'!$A$19,VLOOKUP(A94,'337'!$A$6:$AB$188,21,FALSE)))))</f>
        <v>65.045031924375607</v>
      </c>
      <c r="C94" s="135">
        <f t="shared" si="15"/>
        <v>935.53647422339736</v>
      </c>
      <c r="D94" s="27">
        <f t="shared" si="16"/>
        <v>0.43964693049057663</v>
      </c>
      <c r="E94" s="27">
        <f>IF(A94&gt;200,"",IF($C$1='Adj-Mixed'!$A$21,VLOOKUP(A94,'337'!$A$7:$AB$188,9,FALSE),IF($C$1='Adj-Mixed'!$A$20,VLOOKUP(A94,'337'!$A$7:$AB$188,18,FALSE),IF($C$1='Adj-Mixed'!$A$19,VLOOKUP(A94,'337'!$A$7:$AB$188,27,FALSE)))))</f>
        <v>2.2745524434440103</v>
      </c>
      <c r="F94" s="27">
        <f t="shared" si="11"/>
        <v>2.1279267733758229</v>
      </c>
      <c r="G94" s="28">
        <f t="shared" si="18"/>
        <v>106.2651595480918</v>
      </c>
      <c r="H94" s="1"/>
      <c r="I94" s="136">
        <f t="shared" si="17"/>
        <v>71.185995201558171</v>
      </c>
      <c r="J94" s="26">
        <f>IF(A94&gt;200,"",C94*'Adj-Gilts'!$C$6)</f>
        <v>1031.3208223392469</v>
      </c>
      <c r="K94" s="27">
        <f>IF(A94&gt;200,"",D94*'Adj-Gilts'!$C$7)</f>
        <v>0.39032279092482663</v>
      </c>
      <c r="L94" s="1">
        <f t="shared" si="12"/>
        <v>2.5619820908500133</v>
      </c>
      <c r="M94" s="27">
        <f t="shared" si="13"/>
        <v>2.6422254767538593</v>
      </c>
      <c r="N94" s="31">
        <f t="shared" si="19"/>
        <v>131.94839003028628</v>
      </c>
    </row>
    <row r="95" spans="1:14" x14ac:dyDescent="0.25">
      <c r="A95" s="121">
        <f t="shared" si="14"/>
        <v>113</v>
      </c>
      <c r="B95" s="136">
        <f>IF(A95&gt;200,"",IF($C$1='Adj-Mixed'!$A$21,VLOOKUP(A95,'337'!$A$6:$AB$188,3,FALSE),IF($C$1='Adj-Mixed'!$A$20,VLOOKUP(A95,'337'!$A$6:$AB$188,12,FALSE),IF($C$1='Adj-Mixed'!$A$19,VLOOKUP(A95,'337'!$A$6:$AB$188,21,FALSE)))))</f>
        <v>65.982450832889526</v>
      </c>
      <c r="C95" s="135">
        <f t="shared" si="15"/>
        <v>937.41890851391929</v>
      </c>
      <c r="D95" s="27">
        <f t="shared" si="16"/>
        <v>0.43753183189599654</v>
      </c>
      <c r="E95" s="27">
        <f>IF(A95&gt;200,"",IF($C$1='Adj-Mixed'!$A$21,VLOOKUP(A95,'337'!$A$7:$AB$188,9,FALSE),IF($C$1='Adj-Mixed'!$A$20,VLOOKUP(A95,'337'!$A$7:$AB$188,18,FALSE),IF($C$1='Adj-Mixed'!$A$19,VLOOKUP(A95,'337'!$A$7:$AB$188,27,FALSE)))))</f>
        <v>2.2855479923977393</v>
      </c>
      <c r="F95" s="27">
        <f t="shared" si="11"/>
        <v>2.1425159043896684</v>
      </c>
      <c r="G95" s="28">
        <f t="shared" si="18"/>
        <v>108.40767545248147</v>
      </c>
      <c r="H95" s="1"/>
      <c r="I95" s="136">
        <f t="shared" si="17"/>
        <v>72.219391190108453</v>
      </c>
      <c r="J95" s="26">
        <f>IF(A95&gt;200,"",C95*'Adj-Gilts'!$C$6)</f>
        <v>1033.3959885502834</v>
      </c>
      <c r="K95" s="27">
        <f>IF(A95&gt;200,"",D95*'Adj-Gilts'!$C$7)</f>
        <v>0.38844498596529586</v>
      </c>
      <c r="L95" s="1">
        <f t="shared" si="12"/>
        <v>2.5743671205202303</v>
      </c>
      <c r="M95" s="27">
        <f t="shared" si="13"/>
        <v>2.6603406554013502</v>
      </c>
      <c r="N95" s="31">
        <f t="shared" si="19"/>
        <v>134.60873068568762</v>
      </c>
    </row>
    <row r="96" spans="1:14" x14ac:dyDescent="0.25">
      <c r="A96" s="121">
        <f t="shared" si="14"/>
        <v>114</v>
      </c>
      <c r="B96" s="136">
        <f>IF(A96&gt;200,"",IF($C$1='Adj-Mixed'!$A$21,VLOOKUP(A96,'337'!$A$6:$AB$188,3,FALSE),IF($C$1='Adj-Mixed'!$A$20,VLOOKUP(A96,'337'!$A$6:$AB$188,12,FALSE),IF($C$1='Adj-Mixed'!$A$19,VLOOKUP(A96,'337'!$A$6:$AB$188,21,FALSE)))))</f>
        <v>66.92163447736219</v>
      </c>
      <c r="C96" s="135">
        <f t="shared" si="15"/>
        <v>939.18364447266356</v>
      </c>
      <c r="D96" s="27">
        <f t="shared" si="16"/>
        <v>0.4354324137742524</v>
      </c>
      <c r="E96" s="27">
        <f>IF(A96&gt;200,"",IF($C$1='Adj-Mixed'!$A$21,VLOOKUP(A96,'337'!$A$7:$AB$188,9,FALSE),IF($C$1='Adj-Mixed'!$A$20,VLOOKUP(A96,'337'!$A$7:$AB$188,18,FALSE),IF($C$1='Adj-Mixed'!$A$19,VLOOKUP(A96,'337'!$A$7:$AB$188,27,FALSE)))))</f>
        <v>2.2965676609423125</v>
      </c>
      <c r="F96" s="27">
        <f t="shared" si="11"/>
        <v>2.1568987855818613</v>
      </c>
      <c r="G96" s="28">
        <f t="shared" si="18"/>
        <v>110.56457423806333</v>
      </c>
      <c r="H96" s="1"/>
      <c r="I96" s="136">
        <f t="shared" si="17"/>
        <v>73.254732596063974</v>
      </c>
      <c r="J96" s="26">
        <f>IF(A96&gt;200,"",C96*'Adj-Gilts'!$C$6)</f>
        <v>1035.3414059555155</v>
      </c>
      <c r="K96" s="27">
        <f>IF(A96&gt;200,"",D96*'Adj-Gilts'!$C$7)</f>
        <v>0.38658110228098819</v>
      </c>
      <c r="L96" s="1">
        <f t="shared" si="12"/>
        <v>2.5867793177151883</v>
      </c>
      <c r="M96" s="27">
        <f t="shared" si="13"/>
        <v>2.6781997356998919</v>
      </c>
      <c r="N96" s="31">
        <f t="shared" si="19"/>
        <v>137.28693042138752</v>
      </c>
    </row>
    <row r="97" spans="1:14" x14ac:dyDescent="0.25">
      <c r="A97" s="121">
        <f t="shared" si="14"/>
        <v>115</v>
      </c>
      <c r="B97" s="136">
        <f>IF(A97&gt;200,"",IF($C$1='Adj-Mixed'!$A$21,VLOOKUP(A97,'337'!$A$6:$AB$188,3,FALSE),IF($C$1='Adj-Mixed'!$A$20,VLOOKUP(A97,'337'!$A$6:$AB$188,12,FALSE),IF($C$1='Adj-Mixed'!$A$19,VLOOKUP(A97,'337'!$A$6:$AB$188,21,FALSE)))))</f>
        <v>67.862466420061367</v>
      </c>
      <c r="C97" s="135">
        <f t="shared" si="15"/>
        <v>940.83194269917669</v>
      </c>
      <c r="D97" s="27">
        <f t="shared" si="16"/>
        <v>0.43334807939283848</v>
      </c>
      <c r="E97" s="27">
        <f>IF(A97&gt;200,"",IF($C$1='Adj-Mixed'!$A$21,VLOOKUP(A97,'337'!$A$7:$AB$188,9,FALSE),IF($C$1='Adj-Mixed'!$A$20,VLOOKUP(A97,'337'!$A$7:$AB$188,18,FALSE),IF($C$1='Adj-Mixed'!$A$19,VLOOKUP(A97,'337'!$A$7:$AB$188,27,FALSE)))))</f>
        <v>2.3076137810535453</v>
      </c>
      <c r="F97" s="27">
        <f t="shared" si="11"/>
        <v>2.1710767566279996</v>
      </c>
      <c r="G97" s="28">
        <f t="shared" si="18"/>
        <v>112.73565099469133</v>
      </c>
      <c r="H97" s="1"/>
      <c r="I97" s="136">
        <f t="shared" si="17"/>
        <v>74.2918910602842</v>
      </c>
      <c r="J97" s="26">
        <f>IF(A97&gt;200,"",C97*'Adj-Gilts'!$C$6)</f>
        <v>1037.1584642202283</v>
      </c>
      <c r="K97" s="27">
        <f>IF(A97&gt;200,"",D97*'Adj-Gilts'!$C$7)</f>
        <v>0.38473061008702192</v>
      </c>
      <c r="L97" s="1">
        <f t="shared" si="12"/>
        <v>2.599221309096801</v>
      </c>
      <c r="M97" s="27">
        <f t="shared" si="13"/>
        <v>2.6958043811113295</v>
      </c>
      <c r="N97" s="31">
        <f t="shared" si="19"/>
        <v>139.98273480249884</v>
      </c>
    </row>
    <row r="98" spans="1:14" x14ac:dyDescent="0.25">
      <c r="A98" s="121">
        <f t="shared" si="14"/>
        <v>116</v>
      </c>
      <c r="B98" s="136">
        <f>IF(A98&gt;200,"",IF($C$1='Adj-Mixed'!$A$21,VLOOKUP(A98,'337'!$A$6:$AB$188,3,FALSE),IF($C$1='Adj-Mixed'!$A$20,VLOOKUP(A98,'337'!$A$6:$AB$188,12,FALSE),IF($C$1='Adj-Mixed'!$A$19,VLOOKUP(A98,'337'!$A$6:$AB$188,21,FALSE)))))</f>
        <v>68.804831503371915</v>
      </c>
      <c r="C98" s="135">
        <f t="shared" si="15"/>
        <v>942.36508331054836</v>
      </c>
      <c r="D98" s="27">
        <f t="shared" si="16"/>
        <v>0.43127825598153524</v>
      </c>
      <c r="E98" s="27">
        <f>IF(A98&gt;200,"",IF($C$1='Adj-Mixed'!$A$21,VLOOKUP(A98,'337'!$A$7:$AB$188,9,FALSE),IF($C$1='Adj-Mixed'!$A$20,VLOOKUP(A98,'337'!$A$7:$AB$188,18,FALSE),IF($C$1='Adj-Mixed'!$A$19,VLOOKUP(A98,'337'!$A$7:$AB$188,27,FALSE)))))</f>
        <v>2.318688656640306</v>
      </c>
      <c r="F98" s="27">
        <f t="shared" si="11"/>
        <v>2.1850512290860657</v>
      </c>
      <c r="G98" s="28">
        <f t="shared" si="18"/>
        <v>114.9207022237774</v>
      </c>
      <c r="H98" s="1"/>
      <c r="I98" s="136">
        <f t="shared" si="17"/>
        <v>75.330739634809746</v>
      </c>
      <c r="J98" s="26">
        <f>IF(A98&gt;200,"",C98*'Adj-Gilts'!$C$6)</f>
        <v>1038.8485745255416</v>
      </c>
      <c r="K98" s="27">
        <f>IF(A98&gt;200,"",D98*'Adj-Gilts'!$C$7)</f>
        <v>0.38289300087246436</v>
      </c>
      <c r="L98" s="1">
        <f t="shared" si="12"/>
        <v>2.6116956897132844</v>
      </c>
      <c r="M98" s="27">
        <f t="shared" si="13"/>
        <v>2.7131563443531466</v>
      </c>
      <c r="N98" s="31">
        <f t="shared" si="19"/>
        <v>142.69589114685198</v>
      </c>
    </row>
    <row r="99" spans="1:14" x14ac:dyDescent="0.25">
      <c r="A99" s="121">
        <f t="shared" si="14"/>
        <v>117</v>
      </c>
      <c r="B99" s="136">
        <f>IF(A99&gt;200,"",IF($C$1='Adj-Mixed'!$A$21,VLOOKUP(A99,'337'!$A$6:$AB$188,3,FALSE),IF($C$1='Adj-Mixed'!$A$20,VLOOKUP(A99,'337'!$A$6:$AB$188,12,FALSE),IF($C$1='Adj-Mixed'!$A$19,VLOOKUP(A99,'337'!$A$6:$AB$188,21,FALSE)))))</f>
        <v>69.748615868196353</v>
      </c>
      <c r="C99" s="135">
        <f t="shared" si="15"/>
        <v>943.78436482443817</v>
      </c>
      <c r="D99" s="27">
        <f t="shared" si="16"/>
        <v>0.42922239399635875</v>
      </c>
      <c r="E99" s="27">
        <f>IF(A99&gt;200,"",IF($C$1='Adj-Mixed'!$A$21,VLOOKUP(A99,'337'!$A$7:$AB$188,9,FALSE),IF($C$1='Adj-Mixed'!$A$20,VLOOKUP(A99,'337'!$A$7:$AB$188,18,FALSE),IF($C$1='Adj-Mixed'!$A$19,VLOOKUP(A99,'337'!$A$7:$AB$188,27,FALSE)))))</f>
        <v>2.3297945633481634</v>
      </c>
      <c r="F99" s="27">
        <f t="shared" si="11"/>
        <v>2.1988236821409757</v>
      </c>
      <c r="G99" s="28">
        <f t="shared" si="18"/>
        <v>117.11952590591838</v>
      </c>
      <c r="H99" s="1"/>
      <c r="I99" s="136">
        <f t="shared" si="17"/>
        <v>76.371152803146828</v>
      </c>
      <c r="J99" s="26">
        <f>IF(A99&gt;200,"",C99*'Adj-Gilts'!$C$6)</f>
        <v>1040.4131683370772</v>
      </c>
      <c r="K99" s="27">
        <f>IF(A99&gt;200,"",D99*'Adj-Gilts'!$C$7)</f>
        <v>0.38106778674685921</v>
      </c>
      <c r="L99" s="1">
        <f t="shared" si="12"/>
        <v>2.6242050227779901</v>
      </c>
      <c r="M99" s="27">
        <f t="shared" si="13"/>
        <v>2.7302574621145208</v>
      </c>
      <c r="N99" s="31">
        <f t="shared" si="19"/>
        <v>145.42614860896649</v>
      </c>
    </row>
    <row r="100" spans="1:14" x14ac:dyDescent="0.25">
      <c r="A100" s="121">
        <f t="shared" si="14"/>
        <v>118</v>
      </c>
      <c r="B100" s="136">
        <f>IF(A100&gt;200,"",IF($C$1='Adj-Mixed'!$A$21,VLOOKUP(A100,'337'!$A$6:$AB$188,3,FALSE),IF($C$1='Adj-Mixed'!$A$20,VLOOKUP(A100,'337'!$A$6:$AB$188,12,FALSE),IF($C$1='Adj-Mixed'!$A$19,VLOOKUP(A100,'337'!$A$6:$AB$188,21,FALSE)))))</f>
        <v>70.693706971254755</v>
      </c>
      <c r="C100" s="135">
        <f t="shared" si="15"/>
        <v>945.09110305840238</v>
      </c>
      <c r="D100" s="27">
        <f t="shared" si="16"/>
        <v>0.42717996640461114</v>
      </c>
      <c r="E100" s="27">
        <f>IF(A100&gt;200,"",IF($C$1='Adj-Mixed'!$A$21,VLOOKUP(A100,'337'!$A$7:$AB$188,9,FALSE),IF($C$1='Adj-Mixed'!$A$20,VLOOKUP(A100,'337'!$A$7:$AB$188,18,FALSE),IF($C$1='Adj-Mixed'!$A$19,VLOOKUP(A100,'337'!$A$7:$AB$188,27,FALSE)))))</f>
        <v>2.3409337484071808</v>
      </c>
      <c r="F100" s="27">
        <f t="shared" si="11"/>
        <v>2.2123956584687829</v>
      </c>
      <c r="G100" s="28">
        <f t="shared" si="18"/>
        <v>119.33192156438716</v>
      </c>
      <c r="H100" s="1"/>
      <c r="I100" s="136">
        <f t="shared" si="17"/>
        <v>77.413006499338422</v>
      </c>
      <c r="J100" s="26">
        <f>IF(A100&gt;200,"",C100*'Adj-Gilts'!$C$6)</f>
        <v>1041.8536961915929</v>
      </c>
      <c r="K100" s="27">
        <f>IF(A100&gt;200,"",D100*'Adj-Gilts'!$C$7)</f>
        <v>0.37925449980548731</v>
      </c>
      <c r="L100" s="1">
        <f t="shared" si="12"/>
        <v>2.636751839497967</v>
      </c>
      <c r="M100" s="27">
        <f t="shared" si="13"/>
        <v>2.7471096499209389</v>
      </c>
      <c r="N100" s="31">
        <f t="shared" si="19"/>
        <v>148.17325825888742</v>
      </c>
    </row>
    <row r="101" spans="1:14" x14ac:dyDescent="0.25">
      <c r="A101" s="121">
        <f t="shared" si="14"/>
        <v>119</v>
      </c>
      <c r="B101" s="136">
        <f>IF(A101&gt;200,"",IF($C$1='Adj-Mixed'!$A$21,VLOOKUP(A101,'337'!$A$6:$AB$188,3,FALSE),IF($C$1='Adj-Mixed'!$A$20,VLOOKUP(A101,'337'!$A$6:$AB$188,12,FALSE),IF($C$1='Adj-Mixed'!$A$19,VLOOKUP(A101,'337'!$A$6:$AB$188,21,FALSE)))))</f>
        <v>71.639993601298841</v>
      </c>
      <c r="C101" s="135">
        <f t="shared" si="15"/>
        <v>946.28663004408509</v>
      </c>
      <c r="D101" s="27">
        <f t="shared" si="16"/>
        <v>0.42515046798942407</v>
      </c>
      <c r="E101" s="27">
        <f>IF(A101&gt;200,"",IF($C$1='Adj-Mixed'!$A$21,VLOOKUP(A101,'337'!$A$7:$AB$188,9,FALSE),IF($C$1='Adj-Mixed'!$A$20,VLOOKUP(A101,'337'!$A$7:$AB$188,18,FALSE),IF($C$1='Adj-Mixed'!$A$19,VLOOKUP(A101,'337'!$A$7:$AB$188,27,FALSE)))))</f>
        <v>2.3521084305260032</v>
      </c>
      <c r="F101" s="27">
        <f t="shared" si="11"/>
        <v>2.2257687602207334</v>
      </c>
      <c r="G101" s="28">
        <f t="shared" si="18"/>
        <v>121.55769032460789</v>
      </c>
      <c r="H101" s="1"/>
      <c r="I101" s="136">
        <f t="shared" si="17"/>
        <v>78.45617812583842</v>
      </c>
      <c r="J101" s="26">
        <f>IF(A101&gt;200,"",C101*'Adj-Gilts'!$C$6)</f>
        <v>1043.1716265000039</v>
      </c>
      <c r="K101" s="27">
        <f>IF(A101&gt;200,"",D101*'Adj-Gilts'!$C$7)</f>
        <v>0.37745269151193367</v>
      </c>
      <c r="L101" s="1">
        <f t="shared" si="12"/>
        <v>2.6493386389546614</v>
      </c>
      <c r="M101" s="27">
        <f t="shared" si="13"/>
        <v>2.7637148971476408</v>
      </c>
      <c r="N101" s="31">
        <f t="shared" si="19"/>
        <v>150.93697315603507</v>
      </c>
    </row>
    <row r="102" spans="1:14" x14ac:dyDescent="0.25">
      <c r="A102" s="121">
        <f t="shared" si="14"/>
        <v>120</v>
      </c>
      <c r="B102" s="136">
        <f>IF(A102&gt;200,"",IF($C$1='Adj-Mixed'!$A$21,VLOOKUP(A102,'337'!$A$6:$AB$188,3,FALSE),IF($C$1='Adj-Mixed'!$A$20,VLOOKUP(A102,'337'!$A$6:$AB$188,12,FALSE),IF($C$1='Adj-Mixed'!$A$19,VLOOKUP(A102,'337'!$A$6:$AB$188,21,FALSE)))))</f>
        <v>72.587365894257189</v>
      </c>
      <c r="C102" s="135">
        <f t="shared" si="15"/>
        <v>947.37229295834879</v>
      </c>
      <c r="D102" s="27">
        <f t="shared" si="16"/>
        <v>0.42313341467383547</v>
      </c>
      <c r="E102" s="27">
        <f>IF(A102&gt;200,"",IF($C$1='Adj-Mixed'!$A$21,VLOOKUP(A102,'337'!$A$7:$AB$188,9,FALSE),IF($C$1='Adj-Mixed'!$A$20,VLOOKUP(A102,'337'!$A$7:$AB$188,18,FALSE),IF($C$1='Adj-Mixed'!$A$19,VLOOKUP(A102,'337'!$A$7:$AB$188,27,FALSE)))))</f>
        <v>2.3633207998258219</v>
      </c>
      <c r="F102" s="27">
        <f t="shared" si="11"/>
        <v>2.2389446451271477</v>
      </c>
      <c r="G102" s="28">
        <f t="shared" si="18"/>
        <v>123.79663496973504</v>
      </c>
      <c r="H102" s="1"/>
      <c r="I102" s="136">
        <f t="shared" si="17"/>
        <v>79.500546570207504</v>
      </c>
      <c r="J102" s="26">
        <f>IF(A102&gt;200,"",C102*'Adj-Gilts'!$C$6)</f>
        <v>1044.3684443690786</v>
      </c>
      <c r="K102" s="27">
        <f>IF(A102&gt;200,"",D102*'Adj-Gilts'!$C$7)</f>
        <v>0.3756619320979962</v>
      </c>
      <c r="L102" s="1">
        <f t="shared" si="12"/>
        <v>2.6619678880295417</v>
      </c>
      <c r="M102" s="27">
        <f t="shared" si="13"/>
        <v>2.7800752621818541</v>
      </c>
      <c r="N102" s="31">
        <f t="shared" si="19"/>
        <v>153.71704841821693</v>
      </c>
    </row>
    <row r="103" spans="1:14" x14ac:dyDescent="0.25">
      <c r="A103" s="121">
        <f t="shared" si="14"/>
        <v>121</v>
      </c>
      <c r="B103" s="136">
        <f>IF(A103&gt;200,"",IF($C$1='Adj-Mixed'!$A$21,VLOOKUP(A103,'337'!$A$6:$AB$188,3,FALSE),IF($C$1='Adj-Mixed'!$A$20,VLOOKUP(A103,'337'!$A$6:$AB$188,12,FALSE),IF($C$1='Adj-Mixed'!$A$19,VLOOKUP(A103,'337'!$A$6:$AB$188,21,FALSE)))))</f>
        <v>73.535715347328164</v>
      </c>
      <c r="C103" s="135">
        <f t="shared" si="15"/>
        <v>948.34945307097485</v>
      </c>
      <c r="D103" s="27">
        <f t="shared" si="16"/>
        <v>0.4211283428633647</v>
      </c>
      <c r="E103" s="27">
        <f>IF(A103&gt;200,"",IF($C$1='Adj-Mixed'!$A$21,VLOOKUP(A103,'337'!$A$7:$AB$188,9,FALSE),IF($C$1='Adj-Mixed'!$A$20,VLOOKUP(A103,'337'!$A$7:$AB$188,18,FALSE),IF($C$1='Adj-Mixed'!$A$19,VLOOKUP(A103,'337'!$A$7:$AB$188,27,FALSE)))))</f>
        <v>2.3745730178138365</v>
      </c>
      <c r="F103" s="27">
        <f t="shared" si="11"/>
        <v>2.251925022720846</v>
      </c>
      <c r="G103" s="28">
        <f t="shared" si="18"/>
        <v>126.04855999245588</v>
      </c>
      <c r="H103" s="1"/>
      <c r="I103" s="136">
        <f t="shared" si="17"/>
        <v>80.545992220648898</v>
      </c>
      <c r="J103" s="26">
        <f>IF(A103&gt;200,"",C103*'Adj-Gilts'!$C$6)</f>
        <v>1045.445650441399</v>
      </c>
      <c r="K103" s="27">
        <f>IF(A103&gt;200,"",D103*'Adj-Gilts'!$C$7)</f>
        <v>0.37388180998001763</v>
      </c>
      <c r="L103" s="1">
        <f t="shared" si="12"/>
        <v>2.6746420213742028</v>
      </c>
      <c r="M103" s="27">
        <f t="shared" si="13"/>
        <v>2.7961928677334522</v>
      </c>
      <c r="N103" s="31">
        <f t="shared" si="19"/>
        <v>156.51324128595039</v>
      </c>
    </row>
    <row r="104" spans="1:14" x14ac:dyDescent="0.25">
      <c r="A104" s="121">
        <f t="shared" si="14"/>
        <v>122</v>
      </c>
      <c r="B104" s="136">
        <f>IF(A104&gt;200,"",IF($C$1='Adj-Mixed'!$A$21,VLOOKUP(A104,'337'!$A$6:$AB$188,3,FALSE),IF($C$1='Adj-Mixed'!$A$20,VLOOKUP(A104,'337'!$A$6:$AB$188,12,FALSE),IF($C$1='Adj-Mixed'!$A$19,VLOOKUP(A104,'337'!$A$6:$AB$188,21,FALSE)))))</f>
        <v>74.484934832037936</v>
      </c>
      <c r="C104" s="135">
        <f t="shared" si="15"/>
        <v>949.21948470977213</v>
      </c>
      <c r="D104" s="27">
        <f t="shared" si="16"/>
        <v>0.41913480880663506</v>
      </c>
      <c r="E104" s="27">
        <f>IF(A104&gt;200,"",IF($C$1='Adj-Mixed'!$A$21,VLOOKUP(A104,'337'!$A$7:$AB$188,9,FALSE),IF($C$1='Adj-Mixed'!$A$20,VLOOKUP(A104,'337'!$A$7:$AB$188,18,FALSE),IF($C$1='Adj-Mixed'!$A$19,VLOOKUP(A104,'337'!$A$7:$AB$188,27,FALSE)))))</f>
        <v>2.3858672173929203</v>
      </c>
      <c r="F104" s="27">
        <f t="shared" si="11"/>
        <v>2.2647116506796454</v>
      </c>
      <c r="G104" s="28">
        <f t="shared" si="18"/>
        <v>128.31327164313552</v>
      </c>
      <c r="H104" s="1"/>
      <c r="I104" s="136">
        <f t="shared" si="17"/>
        <v>81.592396980403407</v>
      </c>
      <c r="J104" s="26">
        <f>IF(A104&gt;200,"",C104*'Adj-Gilts'!$C$6)</f>
        <v>1046.404759754513</v>
      </c>
      <c r="K104" s="27">
        <f>IF(A104&gt;200,"",D104*'Adj-Gilts'!$C$7)</f>
        <v>0.37211193119124014</v>
      </c>
      <c r="L104" s="1">
        <f t="shared" si="12"/>
        <v>2.6873634414212542</v>
      </c>
      <c r="M104" s="27">
        <f t="shared" si="13"/>
        <v>2.8120698962934685</v>
      </c>
      <c r="N104" s="31">
        <f t="shared" si="19"/>
        <v>159.32531118224387</v>
      </c>
    </row>
    <row r="105" spans="1:14" x14ac:dyDescent="0.25">
      <c r="A105" s="121">
        <f t="shared" si="14"/>
        <v>123</v>
      </c>
      <c r="B105" s="136">
        <f>IF(A105&gt;200,"",IF($C$1='Adj-Mixed'!$A$21,VLOOKUP(A105,'337'!$A$6:$AB$188,3,FALSE),IF($C$1='Adj-Mixed'!$A$20,VLOOKUP(A105,'337'!$A$6:$AB$188,12,FALSE),IF($C$1='Adj-Mixed'!$A$19,VLOOKUP(A105,'337'!$A$6:$AB$188,21,FALSE)))))</f>
        <v>75.434918606281556</v>
      </c>
      <c r="C105" s="135">
        <f t="shared" si="15"/>
        <v>949.98377424361991</v>
      </c>
      <c r="D105" s="27">
        <f t="shared" si="16"/>
        <v>0.41715238797348875</v>
      </c>
      <c r="E105" s="27">
        <f>IF(A105&gt;200,"",IF($C$1='Adj-Mixed'!$A$21,VLOOKUP(A105,'337'!$A$7:$AB$188,9,FALSE),IF($C$1='Adj-Mixed'!$A$20,VLOOKUP(A105,'337'!$A$7:$AB$188,18,FALSE),IF($C$1='Adj-Mixed'!$A$19,VLOOKUP(A105,'337'!$A$7:$AB$188,27,FALSE)))))</f>
        <v>2.397205502904979</v>
      </c>
      <c r="F105" s="27">
        <f t="shared" si="11"/>
        <v>2.2773063312872468</v>
      </c>
      <c r="G105" s="28">
        <f t="shared" si="18"/>
        <v>130.59057797442276</v>
      </c>
      <c r="H105" s="1"/>
      <c r="I105" s="136">
        <f t="shared" si="17"/>
        <v>82.639644281023266</v>
      </c>
      <c r="J105" s="26">
        <f>IF(A105&gt;200,"",C105*'Adj-Gilts'!$C$6)</f>
        <v>1047.2473006198572</v>
      </c>
      <c r="K105" s="27">
        <f>IF(A105&gt;200,"",D105*'Adj-Gilts'!$C$7)</f>
        <v>0.37035191882968954</v>
      </c>
      <c r="L105" s="1">
        <f t="shared" si="12"/>
        <v>2.7001345184331584</v>
      </c>
      <c r="M105" s="27">
        <f t="shared" si="13"/>
        <v>2.8277085857396234</v>
      </c>
      <c r="N105" s="31">
        <f t="shared" si="19"/>
        <v>162.15301976798349</v>
      </c>
    </row>
    <row r="106" spans="1:14" x14ac:dyDescent="0.25">
      <c r="A106" s="121">
        <f t="shared" si="14"/>
        <v>124</v>
      </c>
      <c r="B106" s="136">
        <f>IF(A106&gt;200,"",IF($C$1='Adj-Mixed'!$A$21,VLOOKUP(A106,'337'!$A$6:$AB$188,3,FALSE),IF($C$1='Adj-Mixed'!$A$20,VLOOKUP(A106,'337'!$A$6:$AB$188,12,FALSE),IF($C$1='Adj-Mixed'!$A$19,VLOOKUP(A106,'337'!$A$6:$AB$188,21,FALSE)))))</f>
        <v>76.385562325365271</v>
      </c>
      <c r="C106" s="135">
        <f t="shared" si="15"/>
        <v>950.6437190837147</v>
      </c>
      <c r="D106" s="27">
        <f t="shared" si="16"/>
        <v>0.41518067444996476</v>
      </c>
      <c r="E106" s="27">
        <f>IF(A106&gt;200,"",IF($C$1='Adj-Mixed'!$A$21,VLOOKUP(A106,'337'!$A$7:$AB$188,9,FALSE),IF($C$1='Adj-Mixed'!$A$20,VLOOKUP(A106,'337'!$A$7:$AB$188,18,FALSE),IF($C$1='Adj-Mixed'!$A$19,VLOOKUP(A106,'337'!$A$7:$AB$188,27,FALSE)))))</f>
        <v>2.4085899502061587</v>
      </c>
      <c r="F106" s="27">
        <f t="shared" si="11"/>
        <v>2.2897109080116418</v>
      </c>
      <c r="G106" s="28">
        <f t="shared" si="18"/>
        <v>132.8802888824344</v>
      </c>
      <c r="H106" s="1"/>
      <c r="I106" s="136">
        <f t="shared" si="17"/>
        <v>83.687619094545013</v>
      </c>
      <c r="J106" s="26">
        <f>IF(A106&gt;200,"",C106*'Adj-Gilts'!$C$6)</f>
        <v>1047.974813521746</v>
      </c>
      <c r="K106" s="27">
        <f>IF(A106&gt;200,"",D106*'Adj-Gilts'!$C$7)</f>
        <v>0.36860141252103107</v>
      </c>
      <c r="L106" s="1">
        <f t="shared" si="12"/>
        <v>2.7129575905869423</v>
      </c>
      <c r="M106" s="27">
        <f t="shared" si="13"/>
        <v>2.8431112250877559</v>
      </c>
      <c r="N106" s="31">
        <f t="shared" si="19"/>
        <v>164.99613099307126</v>
      </c>
    </row>
    <row r="107" spans="1:14" x14ac:dyDescent="0.25">
      <c r="A107" s="121">
        <f t="shared" si="14"/>
        <v>125</v>
      </c>
      <c r="B107" s="136">
        <f>IF(A107&gt;200,"",IF($C$1='Adj-Mixed'!$A$21,VLOOKUP(A107,'337'!$A$6:$AB$188,3,FALSE),IF($C$1='Adj-Mixed'!$A$20,VLOOKUP(A107,'337'!$A$6:$AB$188,12,FALSE),IF($C$1='Adj-Mixed'!$A$19,VLOOKUP(A107,'337'!$A$6:$AB$188,21,FALSE)))))</f>
        <v>77.336763052068534</v>
      </c>
      <c r="C107" s="135">
        <f t="shared" si="15"/>
        <v>951.20072670326294</v>
      </c>
      <c r="D107" s="27">
        <f t="shared" si="16"/>
        <v>0.41321928034953709</v>
      </c>
      <c r="E107" s="27">
        <f>IF(A107&gt;200,"",IF($C$1='Adj-Mixed'!$A$21,VLOOKUP(A107,'337'!$A$7:$AB$188,9,FALSE),IF($C$1='Adj-Mixed'!$A$20,VLOOKUP(A107,'337'!$A$7:$AB$188,18,FALSE),IF($C$1='Adj-Mixed'!$A$19,VLOOKUP(A107,'337'!$A$7:$AB$188,27,FALSE)))))</f>
        <v>2.4200226067721533</v>
      </c>
      <c r="F107" s="27">
        <f t="shared" si="11"/>
        <v>2.3019272621999973</v>
      </c>
      <c r="G107" s="28">
        <f t="shared" si="18"/>
        <v>135.1822161446344</v>
      </c>
      <c r="H107" s="1"/>
      <c r="I107" s="136">
        <f t="shared" si="17"/>
        <v>84.736207944581707</v>
      </c>
      <c r="J107" s="26">
        <f>IF(A107&gt;200,"",C107*'Adj-Gilts'!$C$6)</f>
        <v>1048.5888500366971</v>
      </c>
      <c r="K107" s="27">
        <f>IF(A107&gt;200,"",D107*'Adj-Gilts'!$C$7)</f>
        <v>0.36686006789586068</v>
      </c>
      <c r="L107" s="1">
        <f t="shared" si="12"/>
        <v>2.7258349640928121</v>
      </c>
      <c r="M107" s="27">
        <f t="shared" si="13"/>
        <v>2.8582801503879036</v>
      </c>
      <c r="N107" s="31">
        <f t="shared" si="19"/>
        <v>167.85441114345917</v>
      </c>
    </row>
    <row r="108" spans="1:14" x14ac:dyDescent="0.25">
      <c r="A108" s="121">
        <f t="shared" si="14"/>
        <v>126</v>
      </c>
      <c r="B108" s="136">
        <f>IF(A108&gt;200,"",IF($C$1='Adj-Mixed'!$A$21,VLOOKUP(A108,'337'!$A$6:$AB$188,3,FALSE),IF($C$1='Adj-Mixed'!$A$20,VLOOKUP(A108,'337'!$A$6:$AB$188,12,FALSE),IF($C$1='Adj-Mixed'!$A$19,VLOOKUP(A108,'337'!$A$6:$AB$188,21,FALSE)))))</f>
        <v>78.288419265745063</v>
      </c>
      <c r="C108" s="135">
        <f t="shared" si="15"/>
        <v>951.65621367652875</v>
      </c>
      <c r="D108" s="27">
        <f t="shared" si="16"/>
        <v>0.41126783524033639</v>
      </c>
      <c r="E108" s="27">
        <f>IF(A108&gt;200,"",IF($C$1='Adj-Mixed'!$A$21,VLOOKUP(A108,'337'!$A$7:$AB$188,9,FALSE),IF($C$1='Adj-Mixed'!$A$20,VLOOKUP(A108,'337'!$A$7:$AB$188,18,FALSE),IF($C$1='Adj-Mixed'!$A$19,VLOOKUP(A108,'337'!$A$7:$AB$188,27,FALSE)))))</f>
        <v>2.4315054918302104</v>
      </c>
      <c r="F108" s="27">
        <f t="shared" si="11"/>
        <v>2.3139573098888238</v>
      </c>
      <c r="G108" s="28">
        <f t="shared" si="18"/>
        <v>137.49617345452322</v>
      </c>
      <c r="H108" s="1"/>
      <c r="I108" s="136">
        <f t="shared" si="17"/>
        <v>85.785298916355799</v>
      </c>
      <c r="J108" s="26">
        <f>IF(A108&gt;200,"",C108*'Adj-Gilts'!$C$6)</f>
        <v>1049.0909717740919</v>
      </c>
      <c r="K108" s="27">
        <f>IF(A108&gt;200,"",D108*'Adj-Gilts'!$C$7)</f>
        <v>0.36512755608118724</v>
      </c>
      <c r="L108" s="1">
        <f t="shared" si="12"/>
        <v>2.7387689133428399</v>
      </c>
      <c r="M108" s="27">
        <f t="shared" si="13"/>
        <v>2.8732177407635136</v>
      </c>
      <c r="N108" s="31">
        <f t="shared" si="19"/>
        <v>170.7276288842227</v>
      </c>
    </row>
    <row r="109" spans="1:14" x14ac:dyDescent="0.25">
      <c r="A109" s="121">
        <f t="shared" si="14"/>
        <v>127</v>
      </c>
      <c r="B109" s="136">
        <f>IF(A109&gt;200,"",IF($C$1='Adj-Mixed'!$A$21,VLOOKUP(A109,'337'!$A$6:$AB$188,3,FALSE),IF($C$1='Adj-Mixed'!$A$20,VLOOKUP(A109,'337'!$A$6:$AB$188,12,FALSE),IF($C$1='Adj-Mixed'!$A$19,VLOOKUP(A109,'337'!$A$6:$AB$188,21,FALSE)))))</f>
        <v>79.240430870481973</v>
      </c>
      <c r="C109" s="135">
        <f t="shared" si="15"/>
        <v>952.01160473691004</v>
      </c>
      <c r="D109" s="27">
        <f t="shared" si="16"/>
        <v>0.40932598558757444</v>
      </c>
      <c r="E109" s="27">
        <f>IF(A109&gt;200,"",IF($C$1='Adj-Mixed'!$A$21,VLOOKUP(A109,'337'!$A$7:$AB$188,9,FALSE),IF($C$1='Adj-Mixed'!$A$20,VLOOKUP(A109,'337'!$A$7:$AB$188,18,FALSE),IF($C$1='Adj-Mixed'!$A$19,VLOOKUP(A109,'337'!$A$7:$AB$188,27,FALSE)))))</f>
        <v>2.4430405965175455</v>
      </c>
      <c r="F109" s="27">
        <f t="shared" si="11"/>
        <v>2.3258029987280864</v>
      </c>
      <c r="G109" s="28">
        <f t="shared" si="18"/>
        <v>139.8219764532513</v>
      </c>
      <c r="H109" s="1"/>
      <c r="I109" s="136">
        <f t="shared" si="17"/>
        <v>86.834781665693612</v>
      </c>
      <c r="J109" s="26">
        <f>IF(A109&gt;200,"",C109*'Adj-Gilts'!$C$6)</f>
        <v>1049.4827493378141</v>
      </c>
      <c r="K109" s="27">
        <f>IF(A109&gt;200,"",D109*'Adj-Gilts'!$C$7)</f>
        <v>0.36340356320541145</v>
      </c>
      <c r="L109" s="1">
        <f t="shared" si="12"/>
        <v>2.751761681089397</v>
      </c>
      <c r="M109" s="27">
        <f t="shared" si="13"/>
        <v>2.8879264145921457</v>
      </c>
      <c r="N109" s="31">
        <f t="shared" si="19"/>
        <v>173.61555529881485</v>
      </c>
    </row>
    <row r="110" spans="1:14" x14ac:dyDescent="0.25">
      <c r="A110" s="121">
        <f t="shared" si="14"/>
        <v>128</v>
      </c>
      <c r="B110" s="136">
        <f>IF(A110&gt;200,"",IF($C$1='Adj-Mixed'!$A$21,VLOOKUP(A110,'337'!$A$6:$AB$188,3,FALSE),IF($C$1='Adj-Mixed'!$A$20,VLOOKUP(A110,'337'!$A$6:$AB$188,12,FALSE),IF($C$1='Adj-Mixed'!$A$19,VLOOKUP(A110,'337'!$A$6:$AB$188,21,FALSE)))))</f>
        <v>80.192699202336783</v>
      </c>
      <c r="C110" s="135">
        <f t="shared" si="15"/>
        <v>952.26833185481041</v>
      </c>
      <c r="D110" s="27">
        <f t="shared" si="16"/>
        <v>0.40739339421090814</v>
      </c>
      <c r="E110" s="27">
        <f>IF(A110&gt;200,"",IF($C$1='Adj-Mixed'!$A$21,VLOOKUP(A110,'337'!$A$7:$AB$188,9,FALSE),IF($C$1='Adj-Mixed'!$A$20,VLOOKUP(A110,'337'!$A$7:$AB$188,18,FALSE),IF($C$1='Adj-Mixed'!$A$19,VLOOKUP(A110,'337'!$A$7:$AB$188,27,FALSE)))))</f>
        <v>2.454629884063114</v>
      </c>
      <c r="F110" s="27">
        <f t="shared" si="11"/>
        <v>2.3374663050177484</v>
      </c>
      <c r="G110" s="28">
        <f t="shared" si="18"/>
        <v>142.15944275826905</v>
      </c>
      <c r="H110" s="1"/>
      <c r="I110" s="136">
        <f t="shared" si="17"/>
        <v>87.884547427003326</v>
      </c>
      <c r="J110" s="26">
        <f>IF(A110&gt;200,"",C110*'Adj-Gilts'!$C$6)</f>
        <v>1049.7657613097092</v>
      </c>
      <c r="K110" s="27">
        <f>IF(A110&gt;200,"",D110*'Adj-Gilts'!$C$7)</f>
        <v>0.36168778991656825</v>
      </c>
      <c r="L110" s="1">
        <f t="shared" si="12"/>
        <v>2.7648154786498971</v>
      </c>
      <c r="M110" s="27">
        <f t="shared" si="13"/>
        <v>2.9024086258257769</v>
      </c>
      <c r="N110" s="31">
        <f t="shared" si="19"/>
        <v>176.51796392464064</v>
      </c>
    </row>
    <row r="111" spans="1:14" x14ac:dyDescent="0.25">
      <c r="A111" s="121">
        <f t="shared" si="14"/>
        <v>129</v>
      </c>
      <c r="B111" s="136">
        <f>IF(A111&gt;200,"",IF($C$1='Adj-Mixed'!$A$21,VLOOKUP(A111,'337'!$A$6:$AB$188,3,FALSE),IF($C$1='Adj-Mixed'!$A$20,VLOOKUP(A111,'337'!$A$6:$AB$188,12,FALSE),IF($C$1='Adj-Mixed'!$A$19,VLOOKUP(A111,'337'!$A$6:$AB$188,21,FALSE)))))</f>
        <v>81.145127035671905</v>
      </c>
      <c r="C111" s="135">
        <f t="shared" si="15"/>
        <v>952.42783333512193</v>
      </c>
      <c r="D111" s="27">
        <f t="shared" si="16"/>
        <v>0.40546973975609135</v>
      </c>
      <c r="E111" s="27">
        <f>IF(A111&gt;200,"",IF($C$1='Adj-Mixed'!$A$21,VLOOKUP(A111,'337'!$A$7:$AB$188,9,FALSE),IF($C$1='Adj-Mixed'!$A$20,VLOOKUP(A111,'337'!$A$7:$AB$188,18,FALSE),IF($C$1='Adj-Mixed'!$A$19,VLOOKUP(A111,'337'!$A$7:$AB$188,27,FALSE)))))</f>
        <v>2.4662752899921605</v>
      </c>
      <c r="F111" s="27">
        <f t="shared" si="11"/>
        <v>2.3489492308551831</v>
      </c>
      <c r="G111" s="28">
        <f t="shared" si="18"/>
        <v>144.50839198912422</v>
      </c>
      <c r="H111" s="1"/>
      <c r="I111" s="136">
        <f t="shared" si="17"/>
        <v>88.934489020257985</v>
      </c>
      <c r="J111" s="26">
        <f>IF(A111&gt;200,"",C111*'Adj-Gilts'!$C$6)</f>
        <v>1049.9415932546642</v>
      </c>
      <c r="K111" s="27">
        <f>IF(A111&gt;200,"",D111*'Adj-Gilts'!$C$7)</f>
        <v>0.3599799509132543</v>
      </c>
      <c r="L111" s="1">
        <f t="shared" si="12"/>
        <v>2.7779324861371895</v>
      </c>
      <c r="M111" s="27">
        <f t="shared" si="13"/>
        <v>2.9166668604487715</v>
      </c>
      <c r="N111" s="31">
        <f t="shared" si="19"/>
        <v>179.43463078508941</v>
      </c>
    </row>
    <row r="112" spans="1:14" x14ac:dyDescent="0.25">
      <c r="A112" s="121">
        <f t="shared" si="14"/>
        <v>130</v>
      </c>
      <c r="B112" s="136">
        <f>IF(A112&gt;200,"",IF($C$1='Adj-Mixed'!$A$21,VLOOKUP(A112,'337'!$A$6:$AB$188,3,FALSE),IF($C$1='Adj-Mixed'!$A$20,VLOOKUP(A112,'337'!$A$6:$AB$188,12,FALSE),IF($C$1='Adj-Mixed'!$A$19,VLOOKUP(A112,'337'!$A$6:$AB$188,21,FALSE)))))</f>
        <v>82.09761858860692</v>
      </c>
      <c r="C112" s="135">
        <f t="shared" si="15"/>
        <v>952.49155293501531</v>
      </c>
      <c r="D112" s="27">
        <f t="shared" si="16"/>
        <v>0.40355471618068695</v>
      </c>
      <c r="E112" s="27">
        <f>IF(A112&gt;200,"",IF($C$1='Adj-Mixed'!$A$21,VLOOKUP(A112,'337'!$A$7:$AB$188,9,FALSE),IF($C$1='Adj-Mixed'!$A$20,VLOOKUP(A112,'337'!$A$7:$AB$188,18,FALSE),IF($C$1='Adj-Mixed'!$A$19,VLOOKUP(A112,'337'!$A$7:$AB$188,27,FALSE)))))</f>
        <v>2.4779787223506555</v>
      </c>
      <c r="F112" s="27">
        <f t="shared" si="11"/>
        <v>2.3602538013917012</v>
      </c>
      <c r="G112" s="28">
        <f t="shared" si="18"/>
        <v>146.86864579051593</v>
      </c>
      <c r="H112" s="1"/>
      <c r="I112" s="136">
        <f t="shared" si="17"/>
        <v>89.984500857006054</v>
      </c>
      <c r="J112" s="26">
        <f>IF(A112&gt;200,"",C112*'Adj-Gilts'!$C$6)</f>
        <v>1050.0118367480736</v>
      </c>
      <c r="K112" s="27">
        <f>IF(A112&gt;200,"",D112*'Adj-Gilts'!$C$7)</f>
        <v>0.35827977448803822</v>
      </c>
      <c r="L112" s="1">
        <f t="shared" si="12"/>
        <v>2.7911148527123646</v>
      </c>
      <c r="M112" s="27">
        <f t="shared" si="13"/>
        <v>2.9307036330713387</v>
      </c>
      <c r="N112" s="31">
        <f t="shared" si="19"/>
        <v>182.36533441816076</v>
      </c>
    </row>
    <row r="113" spans="1:14" x14ac:dyDescent="0.25">
      <c r="A113" s="121">
        <f t="shared" si="14"/>
        <v>131</v>
      </c>
      <c r="B113" s="136">
        <f>IF(A113&gt;200,"",IF($C$1='Adj-Mixed'!$A$21,VLOOKUP(A113,'337'!$A$6:$AB$188,3,FALSE),IF($C$1='Adj-Mixed'!$A$20,VLOOKUP(A113,'337'!$A$6:$AB$188,12,FALSE),IF($C$1='Adj-Mixed'!$A$19,VLOOKUP(A113,'337'!$A$6:$AB$188,21,FALSE)))))</f>
        <v>83.0500795276091</v>
      </c>
      <c r="C113" s="135">
        <f t="shared" si="15"/>
        <v>952.46093900217943</v>
      </c>
      <c r="D113" s="27">
        <f t="shared" si="16"/>
        <v>0.40164803225339563</v>
      </c>
      <c r="E113" s="27">
        <f>IF(A113&gt;200,"",IF($C$1='Adj-Mixed'!$A$21,VLOOKUP(A113,'337'!$A$7:$AB$188,9,FALSE),IF($C$1='Adj-Mixed'!$A$20,VLOOKUP(A113,'337'!$A$7:$AB$188,18,FALSE),IF($C$1='Adj-Mixed'!$A$19,VLOOKUP(A113,'337'!$A$7:$AB$188,27,FALSE)))))</f>
        <v>2.489742061948184</v>
      </c>
      <c r="F113" s="27">
        <f t="shared" si="11"/>
        <v>2.3713820621963895</v>
      </c>
      <c r="G113" s="28">
        <f t="shared" si="18"/>
        <v>149.24002785271233</v>
      </c>
      <c r="H113" s="1"/>
      <c r="I113" s="136">
        <f t="shared" si="17"/>
        <v>91.0344789454319</v>
      </c>
      <c r="J113" s="26">
        <f>IF(A113&gt;200,"",C113*'Adj-Gilts'!$C$6)</f>
        <v>1049.9780884258464</v>
      </c>
      <c r="K113" s="27">
        <f>IF(A113&gt;200,"",D113*'Adj-Gilts'!$C$7)</f>
        <v>0.35658700208295985</v>
      </c>
      <c r="L113" s="1">
        <f t="shared" si="12"/>
        <v>2.8043646968583289</v>
      </c>
      <c r="M113" s="27">
        <f t="shared" si="13"/>
        <v>2.9445214836562368</v>
      </c>
      <c r="N113" s="31">
        <f t="shared" si="19"/>
        <v>185.309855901817</v>
      </c>
    </row>
    <row r="114" spans="1:14" x14ac:dyDescent="0.25">
      <c r="A114" s="121">
        <f t="shared" si="14"/>
        <v>132</v>
      </c>
      <c r="B114" s="136">
        <f>IF(A114&gt;200,"",IF($C$1='Adj-Mixed'!$A$21,VLOOKUP(A114,'337'!$A$6:$AB$188,3,FALSE),IF($C$1='Adj-Mixed'!$A$20,VLOOKUP(A114,'337'!$A$6:$AB$188,12,FALSE),IF($C$1='Adj-Mixed'!$A$19,VLOOKUP(A114,'337'!$A$6:$AB$188,21,FALSE)))))</f>
        <v>84.002416971241885</v>
      </c>
      <c r="C114" s="135">
        <f t="shared" si="15"/>
        <v>952.33744363278561</v>
      </c>
      <c r="D114" s="27">
        <f t="shared" si="16"/>
        <v>0.39974941106622647</v>
      </c>
      <c r="E114" s="27">
        <f>IF(A114&gt;200,"",IF($C$1='Adj-Mixed'!$A$21,VLOOKUP(A114,'337'!$A$7:$AB$188,9,FALSE),IF($C$1='Adj-Mixed'!$A$20,VLOOKUP(A114,'337'!$A$7:$AB$188,18,FALSE),IF($C$1='Adj-Mixed'!$A$19,VLOOKUP(A114,'337'!$A$7:$AB$188,27,FALSE)))))</f>
        <v>2.5015671626201095</v>
      </c>
      <c r="F114" s="27">
        <f t="shared" si="11"/>
        <v>2.3823360767253559</v>
      </c>
      <c r="G114" s="28">
        <f t="shared" si="18"/>
        <v>151.62236392943768</v>
      </c>
      <c r="H114" s="1"/>
      <c r="I114" s="136">
        <f t="shared" si="17"/>
        <v>92.084320894488059</v>
      </c>
      <c r="J114" s="26">
        <f>IF(A114&gt;200,"",C114*'Adj-Gilts'!$C$6)</f>
        <v>1049.8419490561612</v>
      </c>
      <c r="K114" s="27">
        <f>IF(A114&gt;200,"",D114*'Adj-Gilts'!$C$7)</f>
        <v>0.35490138785643049</v>
      </c>
      <c r="L114" s="1">
        <f t="shared" si="12"/>
        <v>2.8176841066751015</v>
      </c>
      <c r="M114" s="27">
        <f t="shared" si="13"/>
        <v>2.9581229743763569</v>
      </c>
      <c r="N114" s="31">
        <f t="shared" si="19"/>
        <v>188.26797887619335</v>
      </c>
    </row>
    <row r="115" spans="1:14" x14ac:dyDescent="0.25">
      <c r="A115" s="121">
        <f t="shared" si="14"/>
        <v>133</v>
      </c>
      <c r="B115" s="136">
        <f>IF(A115&gt;200,"",IF($C$1='Adj-Mixed'!$A$21,VLOOKUP(A115,'337'!$A$6:$AB$188,3,FALSE),IF($C$1='Adj-Mixed'!$A$20,VLOOKUP(A115,'337'!$A$6:$AB$188,12,FALSE),IF($C$1='Adj-Mixed'!$A$19,VLOOKUP(A115,'337'!$A$6:$AB$188,21,FALSE)))))</f>
        <v>84.954539493092923</v>
      </c>
      <c r="C115" s="135">
        <f t="shared" si="15"/>
        <v>952.12252185103807</v>
      </c>
      <c r="D115" s="27">
        <f t="shared" si="16"/>
        <v>0.39785858955986148</v>
      </c>
      <c r="E115" s="27">
        <f>IF(A115&gt;200,"",IF($C$1='Adj-Mixed'!$A$21,VLOOKUP(A115,'337'!$A$7:$AB$188,9,FALSE),IF($C$1='Adj-Mixed'!$A$20,VLOOKUP(A115,'337'!$A$7:$AB$188,18,FALSE),IF($C$1='Adj-Mixed'!$A$19,VLOOKUP(A115,'337'!$A$7:$AB$188,27,FALSE)))))</f>
        <v>2.5134558515030898</v>
      </c>
      <c r="F115" s="27">
        <f t="shared" si="11"/>
        <v>2.3931179238943701</v>
      </c>
      <c r="G115" s="28">
        <f t="shared" si="18"/>
        <v>154.01548185333206</v>
      </c>
      <c r="H115" s="1"/>
      <c r="I115" s="136">
        <f t="shared" si="17"/>
        <v>93.133925917123079</v>
      </c>
      <c r="J115" s="26">
        <f>IF(A115&gt;200,"",C115*'Adj-Gilts'!$C$6)</f>
        <v>1049.6050226350139</v>
      </c>
      <c r="K115" s="27">
        <f>IF(A115&gt;200,"",D115*'Adj-Gilts'!$C$7)</f>
        <v>0.3532226982618471</v>
      </c>
      <c r="L115" s="1">
        <f t="shared" si="12"/>
        <v>2.8310751401901446</v>
      </c>
      <c r="M115" s="27">
        <f t="shared" si="13"/>
        <v>2.9715106866007024</v>
      </c>
      <c r="N115" s="31">
        <f t="shared" si="19"/>
        <v>191.23948956279406</v>
      </c>
    </row>
    <row r="116" spans="1:14" x14ac:dyDescent="0.25">
      <c r="A116" s="121">
        <f t="shared" si="14"/>
        <v>134</v>
      </c>
      <c r="B116" s="136">
        <f>IF(A116&gt;200,"",IF($C$1='Adj-Mixed'!$A$21,VLOOKUP(A116,'337'!$A$6:$AB$188,3,FALSE),IF($C$1='Adj-Mixed'!$A$20,VLOOKUP(A116,'337'!$A$6:$AB$188,12,FALSE),IF($C$1='Adj-Mixed'!$A$19,VLOOKUP(A116,'337'!$A$6:$AB$188,21,FALSE)))))</f>
        <v>85.906357123901316</v>
      </c>
      <c r="C116" s="135">
        <f t="shared" si="15"/>
        <v>951.81763080839232</v>
      </c>
      <c r="D116" s="27">
        <f t="shared" si="16"/>
        <v>0.39597531806099251</v>
      </c>
      <c r="E116" s="27">
        <f>IF(A116&gt;200,"",IF($C$1='Adj-Mixed'!$A$21,VLOOKUP(A116,'337'!$A$7:$AB$188,9,FALSE),IF($C$1='Adj-Mixed'!$A$20,VLOOKUP(A116,'337'!$A$7:$AB$188,18,FALSE),IF($C$1='Adj-Mixed'!$A$19,VLOOKUP(A116,'337'!$A$7:$AB$188,27,FALSE)))))</f>
        <v>2.5254099293278904</v>
      </c>
      <c r="F116" s="27">
        <f t="shared" si="11"/>
        <v>2.4037296957528618</v>
      </c>
      <c r="G116" s="28">
        <f t="shared" si="18"/>
        <v>156.41921154908493</v>
      </c>
      <c r="H116" s="1"/>
      <c r="I116" s="136">
        <f t="shared" si="17"/>
        <v>94.183194832626526</v>
      </c>
      <c r="J116" s="26">
        <f>IF(A116&gt;200,"",C116*'Adj-Gilts'!$C$6)</f>
        <v>1049.2689155034493</v>
      </c>
      <c r="K116" s="27">
        <f>IF(A116&gt;200,"",D116*'Adj-Gilts'!$C$7)</f>
        <v>0.35155071163683532</v>
      </c>
      <c r="L116" s="1">
        <f t="shared" si="12"/>
        <v>2.8445398256881824</v>
      </c>
      <c r="M116" s="27">
        <f t="shared" si="13"/>
        <v>2.9846872180062101</v>
      </c>
      <c r="N116" s="31">
        <f t="shared" si="19"/>
        <v>194.22417678080026</v>
      </c>
    </row>
    <row r="117" spans="1:14" x14ac:dyDescent="0.25">
      <c r="A117" s="121">
        <f t="shared" si="14"/>
        <v>135</v>
      </c>
      <c r="B117" s="136">
        <f>IF(A117&gt;200,"",IF($C$1='Adj-Mixed'!$A$21,VLOOKUP(A117,'337'!$A$6:$AB$188,3,FALSE),IF($C$1='Adj-Mixed'!$A$20,VLOOKUP(A117,'337'!$A$6:$AB$188,12,FALSE),IF($C$1='Adj-Mixed'!$A$19,VLOOKUP(A117,'337'!$A$6:$AB$188,21,FALSE)))))</f>
        <v>86.857781352905803</v>
      </c>
      <c r="C117" s="135">
        <f t="shared" si="15"/>
        <v>951.42422900448764</v>
      </c>
      <c r="D117" s="27">
        <f t="shared" si="16"/>
        <v>0.39409935983211081</v>
      </c>
      <c r="E117" s="27">
        <f>IF(A117&gt;200,"",IF($C$1='Adj-Mixed'!$A$21,VLOOKUP(A117,'337'!$A$7:$AB$188,9,FALSE),IF($C$1='Adj-Mixed'!$A$20,VLOOKUP(A117,'337'!$A$7:$AB$188,18,FALSE),IF($C$1='Adj-Mixed'!$A$19,VLOOKUP(A117,'337'!$A$7:$AB$188,27,FALSE)))))</f>
        <v>2.5374311707230564</v>
      </c>
      <c r="F117" s="27">
        <f t="shared" si="11"/>
        <v>2.4141734952571383</v>
      </c>
      <c r="G117" s="28">
        <f t="shared" si="18"/>
        <v>158.83338504434207</v>
      </c>
      <c r="H117" s="1"/>
      <c r="I117" s="136">
        <f t="shared" si="17"/>
        <v>95.23203006811525</v>
      </c>
      <c r="J117" s="26">
        <f>IF(A117&gt;200,"",C117*'Adj-Gilts'!$C$6)</f>
        <v>1048.8352354887288</v>
      </c>
      <c r="K117" s="27">
        <f>IF(A117&gt;200,"",D117*'Adj-Gilts'!$C$7)</f>
        <v>0.34988521780354859</v>
      </c>
      <c r="L117" s="1">
        <f t="shared" si="12"/>
        <v>2.8580801620532421</v>
      </c>
      <c r="M117" s="27">
        <f t="shared" si="13"/>
        <v>2.9976551798127766</v>
      </c>
      <c r="N117" s="31">
        <f t="shared" si="19"/>
        <v>197.22183196061303</v>
      </c>
    </row>
    <row r="118" spans="1:14" x14ac:dyDescent="0.25">
      <c r="A118" s="121">
        <f t="shared" si="14"/>
        <v>136</v>
      </c>
      <c r="B118" s="136">
        <f>IF(A118&gt;200,"",IF($C$1='Adj-Mixed'!$A$21,VLOOKUP(A118,'337'!$A$6:$AB$188,3,FALSE),IF($C$1='Adj-Mixed'!$A$20,VLOOKUP(A118,'337'!$A$6:$AB$188,12,FALSE),IF($C$1='Adj-Mixed'!$A$19,VLOOKUP(A118,'337'!$A$6:$AB$188,21,FALSE)))))</f>
        <v>87.808725128433778</v>
      </c>
      <c r="C118" s="135">
        <f t="shared" si="15"/>
        <v>950.94377552797482</v>
      </c>
      <c r="D118" s="27">
        <f t="shared" si="16"/>
        <v>0.39223049063263549</v>
      </c>
      <c r="E118" s="27">
        <f>IF(A118&gt;200,"",IF($C$1='Adj-Mixed'!$A$21,VLOOKUP(A118,'337'!$A$7:$AB$188,9,FALSE),IF($C$1='Adj-Mixed'!$A$20,VLOOKUP(A118,'337'!$A$7:$AB$188,18,FALSE),IF($C$1='Adj-Mixed'!$A$19,VLOOKUP(A118,'337'!$A$7:$AB$188,27,FALSE)))))</f>
        <v>2.5495213245331394</v>
      </c>
      <c r="F118" s="27">
        <f t="shared" si="11"/>
        <v>2.4244514341406265</v>
      </c>
      <c r="G118" s="28">
        <f t="shared" si="18"/>
        <v>161.25783647848269</v>
      </c>
      <c r="H118" s="1"/>
      <c r="I118" s="136">
        <f t="shared" si="17"/>
        <v>96.280335659182683</v>
      </c>
      <c r="J118" s="26">
        <f>IF(A118&gt;200,"",C118*'Adj-Gilts'!$C$6)</f>
        <v>1048.3055910674311</v>
      </c>
      <c r="K118" s="27">
        <f>IF(A118&gt;200,"",D118*'Adj-Gilts'!$C$7)</f>
        <v>0.34822601767903349</v>
      </c>
      <c r="L118" s="1">
        <f t="shared" si="12"/>
        <v>2.8716981191270978</v>
      </c>
      <c r="M118" s="27">
        <f t="shared" si="13"/>
        <v>3.0104171941387623</v>
      </c>
      <c r="N118" s="31">
        <f t="shared" si="19"/>
        <v>200.2322491547518</v>
      </c>
    </row>
    <row r="119" spans="1:14" x14ac:dyDescent="0.25">
      <c r="A119" s="121">
        <f t="shared" si="14"/>
        <v>137</v>
      </c>
      <c r="B119" s="136">
        <f>IF(A119&gt;200,"",IF($C$1='Adj-Mixed'!$A$21,VLOOKUP(A119,'337'!$A$6:$AB$188,3,FALSE),IF($C$1='Adj-Mixed'!$A$20,VLOOKUP(A119,'337'!$A$6:$AB$188,12,FALSE),IF($C$1='Adj-Mixed'!$A$19,VLOOKUP(A119,'337'!$A$6:$AB$188,21,FALSE)))))</f>
        <v>88.759102857752652</v>
      </c>
      <c r="C119" s="135">
        <f t="shared" si="15"/>
        <v>950.37772931887332</v>
      </c>
      <c r="D119" s="27">
        <f t="shared" si="16"/>
        <v>0.39036849829172809</v>
      </c>
      <c r="E119" s="27">
        <f>IF(A119&gt;200,"",IF($C$1='Adj-Mixed'!$A$21,VLOOKUP(A119,'337'!$A$7:$AB$188,9,FALSE),IF($C$1='Adj-Mixed'!$A$20,VLOOKUP(A119,'337'!$A$7:$AB$188,18,FALSE),IF($C$1='Adj-Mixed'!$A$19,VLOOKUP(A119,'337'!$A$7:$AB$188,27,FALSE)))))</f>
        <v>2.5616821141461199</v>
      </c>
      <c r="F119" s="27">
        <f t="shared" si="11"/>
        <v>2.4345656308789603</v>
      </c>
      <c r="G119" s="28">
        <f t="shared" si="18"/>
        <v>163.69240210936164</v>
      </c>
      <c r="H119" s="1"/>
      <c r="I119" s="136">
        <f t="shared" si="17"/>
        <v>97.32801724973497</v>
      </c>
      <c r="J119" s="26">
        <f>IF(A119&gt;200,"",C119*'Adj-Gilts'!$C$6)</f>
        <v>1047.6815905522858</v>
      </c>
      <c r="K119" s="27">
        <f>IF(A119&gt;200,"",D119*'Adj-Gilts'!$C$7)</f>
        <v>0.34657292289597053</v>
      </c>
      <c r="L119" s="1">
        <f t="shared" si="12"/>
        <v>2.8853956380780681</v>
      </c>
      <c r="M119" s="27">
        <f t="shared" si="13"/>
        <v>3.0229758914742582</v>
      </c>
      <c r="N119" s="31">
        <f t="shared" si="19"/>
        <v>203.25522504622606</v>
      </c>
    </row>
    <row r="120" spans="1:14" x14ac:dyDescent="0.25">
      <c r="A120" s="121">
        <f t="shared" si="14"/>
        <v>138</v>
      </c>
      <c r="B120" s="136">
        <f>IF(A120&gt;200,"",IF($C$1='Adj-Mixed'!$A$21,VLOOKUP(A120,'337'!$A$6:$AB$188,3,FALSE),IF($C$1='Adj-Mixed'!$A$20,VLOOKUP(A120,'337'!$A$6:$AB$188,12,FALSE),IF($C$1='Adj-Mixed'!$A$19,VLOOKUP(A120,'337'!$A$6:$AB$188,21,FALSE)))))</f>
        <v>89.708830406204243</v>
      </c>
      <c r="C120" s="135">
        <f t="shared" si="15"/>
        <v>949.72754845159102</v>
      </c>
      <c r="D120" s="27">
        <f t="shared" si="16"/>
        <v>0.38851318229213272</v>
      </c>
      <c r="E120" s="27">
        <f>IF(A120&gt;200,"",IF($C$1='Adj-Mixed'!$A$21,VLOOKUP(A120,'337'!$A$7:$AB$188,9,FALSE),IF($C$1='Adj-Mixed'!$A$20,VLOOKUP(A120,'337'!$A$7:$AB$188,18,FALSE),IF($C$1='Adj-Mixed'!$A$19,VLOOKUP(A120,'337'!$A$7:$AB$188,27,FALSE)))))</f>
        <v>2.5739152378311712</v>
      </c>
      <c r="F120" s="27">
        <f t="shared" si="11"/>
        <v>2.4445182087475921</v>
      </c>
      <c r="G120" s="28">
        <f t="shared" si="18"/>
        <v>166.13692031810922</v>
      </c>
      <c r="H120" s="1"/>
      <c r="I120" s="136">
        <f t="shared" si="17"/>
        <v>98.374982091036756</v>
      </c>
      <c r="J120" s="26">
        <f>IF(A120&gt;200,"",C120*'Adj-Gilts'!$C$6)</f>
        <v>1046.964841301786</v>
      </c>
      <c r="K120" s="27">
        <f>IF(A120&gt;200,"",D120*'Adj-Gilts'!$C$7)</f>
        <v>0.34492575543320331</v>
      </c>
      <c r="L120" s="1">
        <f t="shared" si="12"/>
        <v>2.8991746317814626</v>
      </c>
      <c r="M120" s="27">
        <f t="shared" si="13"/>
        <v>3.035333908269243</v>
      </c>
      <c r="N120" s="31">
        <f t="shared" si="19"/>
        <v>206.29055895449531</v>
      </c>
    </row>
    <row r="121" spans="1:14" x14ac:dyDescent="0.25">
      <c r="A121" s="121">
        <f t="shared" si="14"/>
        <v>139</v>
      </c>
      <c r="B121" s="136">
        <f>IF(A121&gt;200,"",IF($C$1='Adj-Mixed'!$A$21,VLOOKUP(A121,'337'!$A$6:$AB$188,3,FALSE),IF($C$1='Adj-Mixed'!$A$20,VLOOKUP(A121,'337'!$A$6:$AB$188,12,FALSE),IF($C$1='Adj-Mixed'!$A$19,VLOOKUP(A121,'337'!$A$6:$AB$188,21,FALSE)))))</f>
        <v>90.657825095642664</v>
      </c>
      <c r="C121" s="135">
        <f t="shared" si="15"/>
        <v>948.9946894384218</v>
      </c>
      <c r="D121" s="27">
        <f t="shared" si="16"/>
        <v>0.38666435336468036</v>
      </c>
      <c r="E121" s="27">
        <f>IF(A121&gt;200,"",IF($C$1='Adj-Mixed'!$A$21,VLOOKUP(A121,'337'!$A$7:$AB$188,9,FALSE),IF($C$1='Adj-Mixed'!$A$20,VLOOKUP(A121,'337'!$A$7:$AB$188,18,FALSE),IF($C$1='Adj-Mixed'!$A$19,VLOOKUP(A121,'337'!$A$7:$AB$188,27,FALSE)))))</f>
        <v>2.5862223690862329</v>
      </c>
      <c r="F121" s="27">
        <f t="shared" si="11"/>
        <v>2.4543112939696887</v>
      </c>
      <c r="G121" s="28">
        <f t="shared" si="18"/>
        <v>168.5912316120789</v>
      </c>
      <c r="H121" s="1"/>
      <c r="I121" s="136">
        <f t="shared" si="17"/>
        <v>99.421139039989129</v>
      </c>
      <c r="J121" s="26">
        <f>IF(A121&gt;200,"",C121*'Adj-Gilts'!$C$6)</f>
        <v>1046.1569489523747</v>
      </c>
      <c r="K121" s="27">
        <f>IF(A121&gt;200,"",D121*'Adj-Gilts'!$C$7)</f>
        <v>0.3432843472557357</v>
      </c>
      <c r="L121" s="1">
        <f t="shared" si="12"/>
        <v>2.9130369852110749</v>
      </c>
      <c r="M121" s="27">
        <f t="shared" si="13"/>
        <v>3.047493884633842</v>
      </c>
      <c r="N121" s="31">
        <f t="shared" si="19"/>
        <v>209.33805283912915</v>
      </c>
    </row>
    <row r="122" spans="1:14" x14ac:dyDescent="0.25">
      <c r="A122" s="121">
        <f t="shared" si="14"/>
        <v>140</v>
      </c>
      <c r="B122" s="136">
        <f>IF(A122&gt;200,"",IF($C$1='Adj-Mixed'!$A$21,VLOOKUP(A122,'337'!$A$6:$AB$188,3,FALSE),IF($C$1='Adj-Mixed'!$A$20,VLOOKUP(A122,'337'!$A$6:$AB$188,12,FALSE),IF($C$1='Adj-Mixed'!$A$19,VLOOKUP(A122,'337'!$A$6:$AB$188,21,FALSE)))))</f>
        <v>91.606005702196953</v>
      </c>
      <c r="C122" s="135">
        <f t="shared" si="15"/>
        <v>948.18060655428837</v>
      </c>
      <c r="D122" s="27">
        <f t="shared" si="16"/>
        <v>0.38482183309351492</v>
      </c>
      <c r="E122" s="27">
        <f>IF(A122&gt;200,"",IF($C$1='Adj-Mixed'!$A$21,VLOOKUP(A122,'337'!$A$7:$AB$188,9,FALSE),IF($C$1='Adj-Mixed'!$A$20,VLOOKUP(A122,'337'!$A$7:$AB$188,18,FALSE),IF($C$1='Adj-Mixed'!$A$19,VLOOKUP(A122,'337'!$A$7:$AB$188,27,FALSE)))))</f>
        <v>2.5986051569922011</v>
      </c>
      <c r="F122" s="27">
        <f t="shared" si="11"/>
        <v>2.4639470139519672</v>
      </c>
      <c r="G122" s="28">
        <f t="shared" si="18"/>
        <v>171.05517862603088</v>
      </c>
      <c r="H122" s="1"/>
      <c r="I122" s="136">
        <f t="shared" si="17"/>
        <v>100.46639855666318</v>
      </c>
      <c r="J122" s="26">
        <f>IF(A122&gt;200,"",C122*'Adj-Gilts'!$C$6)</f>
        <v>1045.2595166740514</v>
      </c>
      <c r="K122" s="27">
        <f>IF(A122&gt;200,"",D122*'Adj-Gilts'!$C$7)</f>
        <v>0.3416485399642476</v>
      </c>
      <c r="L122" s="1">
        <f t="shared" si="12"/>
        <v>2.9269845558381333</v>
      </c>
      <c r="M122" s="27">
        <f t="shared" si="13"/>
        <v>3.0594584621477803</v>
      </c>
      <c r="N122" s="31">
        <f t="shared" si="19"/>
        <v>212.39751130127692</v>
      </c>
    </row>
    <row r="123" spans="1:14" x14ac:dyDescent="0.25">
      <c r="A123" s="121">
        <f t="shared" si="14"/>
        <v>141</v>
      </c>
      <c r="B123" s="136">
        <f>IF(A123&gt;200,"",IF($C$1='Adj-Mixed'!$A$21,VLOOKUP(A123,'337'!$A$6:$AB$188,3,FALSE),IF($C$1='Adj-Mixed'!$A$20,VLOOKUP(A123,'337'!$A$6:$AB$188,12,FALSE),IF($C$1='Adj-Mixed'!$A$19,VLOOKUP(A123,'337'!$A$6:$AB$188,21,FALSE)))))</f>
        <v>92.553292453378816</v>
      </c>
      <c r="C123" s="135">
        <f t="shared" si="15"/>
        <v>947.28675118186345</v>
      </c>
      <c r="D123" s="27">
        <f t="shared" si="16"/>
        <v>0.38298545353144714</v>
      </c>
      <c r="E123" s="27">
        <f>IF(A123&gt;200,"",IF($C$1='Adj-Mixed'!$A$21,VLOOKUP(A123,'337'!$A$7:$AB$188,9,FALSE),IF($C$1='Adj-Mixed'!$A$20,VLOOKUP(A123,'337'!$A$7:$AB$188,18,FALSE),IF($C$1='Adj-Mixed'!$A$19,VLOOKUP(A123,'337'!$A$7:$AB$188,27,FALSE)))))</f>
        <v>2.6110652265749552</v>
      </c>
      <c r="F123" s="27">
        <f t="shared" si="11"/>
        <v>2.4734274956061255</v>
      </c>
      <c r="G123" s="28">
        <f t="shared" si="18"/>
        <v>173.52860612163701</v>
      </c>
      <c r="H123" s="1"/>
      <c r="I123" s="136">
        <f t="shared" si="17"/>
        <v>101.51067270111163</v>
      </c>
      <c r="J123" s="26">
        <f>IF(A123&gt;200,"",C123*'Adj-Gilts'!$C$6)</f>
        <v>1044.2741444484448</v>
      </c>
      <c r="K123" s="27">
        <f>IF(A123&gt;200,"",D123*'Adj-Gilts'!$C$7)</f>
        <v>0.34001818445360227</v>
      </c>
      <c r="L123" s="1">
        <f t="shared" si="12"/>
        <v>2.9410191740390772</v>
      </c>
      <c r="M123" s="27">
        <f t="shared" si="13"/>
        <v>3.071230281776129</v>
      </c>
      <c r="N123" s="31">
        <f t="shared" si="19"/>
        <v>215.46874158305306</v>
      </c>
    </row>
    <row r="124" spans="1:14" x14ac:dyDescent="0.25">
      <c r="A124" s="121">
        <f t="shared" si="14"/>
        <v>142</v>
      </c>
      <c r="B124" s="136">
        <f>IF(A124&gt;200,"",IF($C$1='Adj-Mixed'!$A$21,VLOOKUP(A124,'337'!$A$6:$AB$188,3,FALSE),IF($C$1='Adj-Mixed'!$A$20,VLOOKUP(A124,'337'!$A$6:$AB$188,12,FALSE),IF($C$1='Adj-Mixed'!$A$19,VLOOKUP(A124,'337'!$A$6:$AB$188,21,FALSE)))))</f>
        <v>93.499607024556468</v>
      </c>
      <c r="C124" s="135">
        <f t="shared" si="15"/>
        <v>946.31457117765194</v>
      </c>
      <c r="D124" s="27">
        <f t="shared" si="16"/>
        <v>0.38115505682544998</v>
      </c>
      <c r="E124" s="27">
        <f>IF(A124&gt;200,"",IF($C$1='Adj-Mixed'!$A$21,VLOOKUP(A124,'337'!$A$7:$AB$188,9,FALSE),IF($C$1='Adj-Mixed'!$A$20,VLOOKUP(A124,'337'!$A$7:$AB$188,18,FALSE),IF($C$1='Adj-Mixed'!$A$19,VLOOKUP(A124,'337'!$A$7:$AB$188,27,FALSE)))))</f>
        <v>2.6236041791725464</v>
      </c>
      <c r="F124" s="27">
        <f t="shared" si="11"/>
        <v>2.4827548637535637</v>
      </c>
      <c r="G124" s="28">
        <f t="shared" si="18"/>
        <v>176.01136098539058</v>
      </c>
      <c r="H124" s="1"/>
      <c r="I124" s="136">
        <f t="shared" si="17"/>
        <v>102.55387512948163</v>
      </c>
      <c r="J124" s="26">
        <f>IF(A124&gt;200,"",C124*'Adj-Gilts'!$C$6)</f>
        <v>1043.2024283699911</v>
      </c>
      <c r="K124" s="27">
        <f>IF(A124&gt;200,"",D124*'Adj-Gilts'!$C$7)</f>
        <v>0.33839314058035785</v>
      </c>
      <c r="L124" s="1">
        <f t="shared" si="12"/>
        <v>2.9551426435091437</v>
      </c>
      <c r="M124" s="27">
        <f t="shared" si="13"/>
        <v>3.0828119818884541</v>
      </c>
      <c r="N124" s="31">
        <f t="shared" si="19"/>
        <v>218.55155356494151</v>
      </c>
    </row>
    <row r="125" spans="1:14" x14ac:dyDescent="0.25">
      <c r="A125" s="121">
        <f t="shared" si="14"/>
        <v>143</v>
      </c>
      <c r="B125" s="136">
        <f>IF(A125&gt;200,"",IF($C$1='Adj-Mixed'!$A$21,VLOOKUP(A125,'337'!$A$6:$AB$188,3,FALSE),IF($C$1='Adj-Mixed'!$A$20,VLOOKUP(A125,'337'!$A$6:$AB$188,12,FALSE),IF($C$1='Adj-Mixed'!$A$19,VLOOKUP(A125,'337'!$A$6:$AB$188,21,FALSE)))))</f>
        <v>94.444872534814436</v>
      </c>
      <c r="C125" s="135">
        <f t="shared" si="15"/>
        <v>945.26551025796834</v>
      </c>
      <c r="D125" s="27">
        <f t="shared" si="16"/>
        <v>0.37933049485166559</v>
      </c>
      <c r="E125" s="27">
        <f>IF(A125&gt;200,"",IF($C$1='Adj-Mixed'!$A$21,VLOOKUP(A125,'337'!$A$7:$AB$188,9,FALSE),IF($C$1='Adj-Mixed'!$A$20,VLOOKUP(A125,'337'!$A$7:$AB$188,18,FALSE),IF($C$1='Adj-Mixed'!$A$19,VLOOKUP(A125,'337'!$A$7:$AB$188,27,FALSE)))))</f>
        <v>2.6362235928093329</v>
      </c>
      <c r="F125" s="27">
        <f t="shared" si="11"/>
        <v>2.4919312396110085</v>
      </c>
      <c r="G125" s="28">
        <f t="shared" si="18"/>
        <v>178.50329222500159</v>
      </c>
      <c r="H125" s="1"/>
      <c r="I125" s="136">
        <f t="shared" si="17"/>
        <v>103.59592108945067</v>
      </c>
      <c r="J125" s="26">
        <f>IF(A125&gt;200,"",C125*'Adj-Gilts'!$C$6)</f>
        <v>1042.0459599690448</v>
      </c>
      <c r="K125" s="27">
        <f>IF(A125&gt;200,"",D125*'Adj-Gilts'!$C$7)</f>
        <v>0.33677327683872282</v>
      </c>
      <c r="L125" s="1">
        <f t="shared" si="12"/>
        <v>2.9693567416837809</v>
      </c>
      <c r="M125" s="27">
        <f t="shared" si="13"/>
        <v>3.0942061963784306</v>
      </c>
      <c r="N125" s="31">
        <f t="shared" si="19"/>
        <v>221.64575976131994</v>
      </c>
    </row>
    <row r="126" spans="1:14" x14ac:dyDescent="0.25">
      <c r="A126" s="121">
        <f t="shared" si="14"/>
        <v>144</v>
      </c>
      <c r="B126" s="136">
        <f>IF(A126&gt;200,"",IF($C$1='Adj-Mixed'!$A$21,VLOOKUP(A126,'337'!$A$6:$AB$188,3,FALSE),IF($C$1='Adj-Mixed'!$A$20,VLOOKUP(A126,'337'!$A$6:$AB$188,12,FALSE),IF($C$1='Adj-Mixed'!$A$19,VLOOKUP(A126,'337'!$A$6:$AB$188,21,FALSE)))))</f>
        <v>95.389013542220411</v>
      </c>
      <c r="C126" s="135">
        <f t="shared" si="15"/>
        <v>944.14100740597462</v>
      </c>
      <c r="D126" s="27">
        <f t="shared" si="16"/>
        <v>0.3775116288602115</v>
      </c>
      <c r="E126" s="27">
        <f>IF(A126&gt;200,"",IF($C$1='Adj-Mixed'!$A$21,VLOOKUP(A126,'337'!$A$7:$AB$188,9,FALSE),IF($C$1='Adj-Mixed'!$A$20,VLOOKUP(A126,'337'!$A$7:$AB$188,18,FALSE),IF($C$1='Adj-Mixed'!$A$19,VLOOKUP(A126,'337'!$A$7:$AB$188,27,FALSE)))))</f>
        <v>2.6489250225727199</v>
      </c>
      <c r="F126" s="27">
        <f t="shared" si="11"/>
        <v>2.5009587393547017</v>
      </c>
      <c r="G126" s="28">
        <f t="shared" si="18"/>
        <v>181.00425096435629</v>
      </c>
      <c r="H126" s="1"/>
      <c r="I126" s="136">
        <f t="shared" si="17"/>
        <v>104.63672741500888</v>
      </c>
      <c r="J126" s="26">
        <f>IF(A126&gt;200,"",C126*'Adj-Gilts'!$C$6)</f>
        <v>1040.8063255582072</v>
      </c>
      <c r="K126" s="27">
        <f>IF(A126&gt;200,"",D126*'Adj-Gilts'!$C$7)</f>
        <v>0.33515847004521143</v>
      </c>
      <c r="L126" s="1">
        <f t="shared" si="12"/>
        <v>2.9836632201630002</v>
      </c>
      <c r="M126" s="27">
        <f t="shared" si="13"/>
        <v>3.1054155528810203</v>
      </c>
      <c r="N126" s="31">
        <f t="shared" si="19"/>
        <v>224.75117531420096</v>
      </c>
    </row>
    <row r="127" spans="1:14" x14ac:dyDescent="0.25">
      <c r="A127" s="121">
        <f t="shared" si="14"/>
        <v>145</v>
      </c>
      <c r="B127" s="136">
        <f>IF(A127&gt;200,"",IF($C$1='Adj-Mixed'!$A$21,VLOOKUP(A127,'337'!$A$6:$AB$188,3,FALSE),IF($C$1='Adj-Mixed'!$A$20,VLOOKUP(A127,'337'!$A$6:$AB$188,12,FALSE),IF($C$1='Adj-Mixed'!$A$19,VLOOKUP(A127,'337'!$A$6:$AB$188,21,FALSE)))))</f>
        <v>96.331956038519181</v>
      </c>
      <c r="C127" s="135">
        <f t="shared" si="15"/>
        <v>942.94249629876958</v>
      </c>
      <c r="D127" s="27">
        <f t="shared" si="16"/>
        <v>0.37569832912920587</v>
      </c>
      <c r="E127" s="27">
        <f>IF(A127&gt;200,"",IF($C$1='Adj-Mixed'!$A$21,VLOOKUP(A127,'337'!$A$7:$AB$188,9,FALSE),IF($C$1='Adj-Mixed'!$A$20,VLOOKUP(A127,'337'!$A$7:$AB$188,18,FALSE),IF($C$1='Adj-Mixed'!$A$19,VLOOKUP(A127,'337'!$A$7:$AB$188,27,FALSE)))))</f>
        <v>2.6617100009941526</v>
      </c>
      <c r="F127" s="27">
        <f t="shared" si="11"/>
        <v>2.5098394727608264</v>
      </c>
      <c r="G127" s="28">
        <f t="shared" si="18"/>
        <v>183.51409043711712</v>
      </c>
      <c r="H127" s="1"/>
      <c r="I127" s="136">
        <f t="shared" si="17"/>
        <v>105.67621252060964</v>
      </c>
      <c r="J127" s="26">
        <f>IF(A127&gt;200,"",C127*'Adj-Gilts'!$C$6)</f>
        <v>1039.4851056007583</v>
      </c>
      <c r="K127" s="27">
        <f>IF(A127&gt;200,"",D127*'Adj-Gilts'!$C$7)</f>
        <v>0.33354860503148415</v>
      </c>
      <c r="L127" s="1">
        <f t="shared" si="12"/>
        <v>2.9980638051405086</v>
      </c>
      <c r="M127" s="27">
        <f t="shared" si="13"/>
        <v>3.1164426710842932</v>
      </c>
      <c r="N127" s="31">
        <f t="shared" si="19"/>
        <v>227.86761798528525</v>
      </c>
    </row>
    <row r="128" spans="1:14" x14ac:dyDescent="0.25">
      <c r="A128" s="121">
        <f t="shared" si="14"/>
        <v>146</v>
      </c>
      <c r="B128" s="136">
        <f>IF(A128&gt;200,"",IF($C$1='Adj-Mixed'!$A$21,VLOOKUP(A128,'337'!$A$6:$AB$188,3,FALSE),IF($C$1='Adj-Mixed'!$A$20,VLOOKUP(A128,'337'!$A$6:$AB$188,12,FALSE),IF($C$1='Adj-Mixed'!$A$19,VLOOKUP(A128,'337'!$A$6:$AB$188,21,FALSE)))))</f>
        <v>97.273627443273156</v>
      </c>
      <c r="C128" s="135">
        <f t="shared" si="15"/>
        <v>941.67140475397559</v>
      </c>
      <c r="D128" s="27">
        <f t="shared" si="16"/>
        <v>0.37389047462764613</v>
      </c>
      <c r="E128" s="27">
        <f>IF(A128&gt;200,"",IF($C$1='Adj-Mixed'!$A$21,VLOOKUP(A128,'337'!$A$7:$AB$188,9,FALSE),IF($C$1='Adj-Mixed'!$A$20,VLOOKUP(A128,'337'!$A$7:$AB$188,18,FALSE),IF($C$1='Adj-Mixed'!$A$19,VLOOKUP(A128,'337'!$A$7:$AB$188,27,FALSE)))))</f>
        <v>2.6745800384347587</v>
      </c>
      <c r="F128" s="27">
        <f t="shared" si="11"/>
        <v>2.5185755419198013</v>
      </c>
      <c r="G128" s="28">
        <f t="shared" si="18"/>
        <v>186.03266597903692</v>
      </c>
      <c r="H128" s="1"/>
      <c r="I128" s="136">
        <f t="shared" si="17"/>
        <v>106.71429639471022</v>
      </c>
      <c r="J128" s="26">
        <f>IF(A128&gt;200,"",C128*'Adj-Gilts'!$C$6)</f>
        <v>1038.0838741005823</v>
      </c>
      <c r="K128" s="27">
        <f>IF(A128&gt;200,"",D128*'Adj-Gilts'!$C$7)</f>
        <v>0.33194357434504806</v>
      </c>
      <c r="L128" s="1">
        <f t="shared" si="12"/>
        <v>3.0125601978380878</v>
      </c>
      <c r="M128" s="27">
        <f t="shared" si="13"/>
        <v>3.1272901611329784</v>
      </c>
      <c r="N128" s="31">
        <f t="shared" si="19"/>
        <v>230.99490814641823</v>
      </c>
    </row>
    <row r="129" spans="1:14" x14ac:dyDescent="0.25">
      <c r="A129" s="121">
        <f t="shared" si="14"/>
        <v>147</v>
      </c>
      <c r="B129" s="136">
        <f>IF(A129&gt;200,"",IF($C$1='Adj-Mixed'!$A$21,VLOOKUP(A129,'337'!$A$6:$AB$188,3,FALSE),IF($C$1='Adj-Mixed'!$A$20,VLOOKUP(A129,'337'!$A$6:$AB$188,12,FALSE),IF($C$1='Adj-Mixed'!$A$19,VLOOKUP(A129,'337'!$A$6:$AB$188,21,FALSE)))))</f>
        <v>98.213956597470343</v>
      </c>
      <c r="C129" s="135">
        <f t="shared" si="15"/>
        <v>940.32915419718677</v>
      </c>
      <c r="D129" s="27">
        <f t="shared" si="16"/>
        <v>0.37208795268754408</v>
      </c>
      <c r="E129" s="27">
        <f>IF(A129&gt;200,"",IF($C$1='Adj-Mixed'!$A$21,VLOOKUP(A129,'337'!$A$7:$AB$188,9,FALSE),IF($C$1='Adj-Mixed'!$A$20,VLOOKUP(A129,'337'!$A$7:$AB$188,18,FALSE),IF($C$1='Adj-Mixed'!$A$19,VLOOKUP(A129,'337'!$A$7:$AB$188,27,FALSE)))))</f>
        <v>2.6875366234706792</v>
      </c>
      <c r="F129" s="27">
        <f t="shared" si="11"/>
        <v>2.5271690400221467</v>
      </c>
      <c r="G129" s="28">
        <f t="shared" si="18"/>
        <v>188.55983501905908</v>
      </c>
      <c r="H129" s="1"/>
      <c r="I129" s="136">
        <f t="shared" si="17"/>
        <v>107.75090059272532</v>
      </c>
      <c r="J129" s="26">
        <f>IF(A129&gt;200,"",C129*'Adj-Gilts'!$C$6)</f>
        <v>1036.6041980150915</v>
      </c>
      <c r="K129" s="27">
        <f>IF(A129&gt;200,"",D129*'Adj-Gilts'!$C$7)</f>
        <v>0.33034327795817509</v>
      </c>
      <c r="L129" s="1">
        <f t="shared" si="12"/>
        <v>3.0271540749396162</v>
      </c>
      <c r="M129" s="27">
        <f t="shared" si="13"/>
        <v>3.1379606221208971</v>
      </c>
      <c r="N129" s="31">
        <f t="shared" si="19"/>
        <v>234.13286876853911</v>
      </c>
    </row>
    <row r="130" spans="1:14" x14ac:dyDescent="0.25">
      <c r="A130" s="121">
        <f t="shared" si="14"/>
        <v>148</v>
      </c>
      <c r="B130" s="136">
        <f>IF(A130&gt;200,"",IF($C$1='Adj-Mixed'!$A$21,VLOOKUP(A130,'337'!$A$6:$AB$188,3,FALSE),IF($C$1='Adj-Mixed'!$A$20,VLOOKUP(A130,'337'!$A$6:$AB$188,12,FALSE),IF($C$1='Adj-Mixed'!$A$19,VLOOKUP(A130,'337'!$A$6:$AB$188,21,FALSE)))))</f>
        <v>99.152873756618789</v>
      </c>
      <c r="C130" s="135">
        <f t="shared" si="15"/>
        <v>938.91715914844553</v>
      </c>
      <c r="D130" s="27">
        <f t="shared" si="16"/>
        <v>0.37029065868446037</v>
      </c>
      <c r="E130" s="27">
        <f>IF(A130&gt;200,"",IF($C$1='Adj-Mixed'!$A$21,VLOOKUP(A130,'337'!$A$7:$AB$188,9,FALSE),IF($C$1='Adj-Mixed'!$A$20,VLOOKUP(A130,'337'!$A$7:$AB$188,18,FALSE),IF($C$1='Adj-Mixed'!$A$19,VLOOKUP(A130,'337'!$A$7:$AB$188,27,FALSE)))))</f>
        <v>2.7005812232820605</v>
      </c>
      <c r="F130" s="27">
        <f t="shared" si="11"/>
        <v>2.5356220502136262</v>
      </c>
      <c r="G130" s="28">
        <f t="shared" si="18"/>
        <v>191.0954570692727</v>
      </c>
      <c r="H130" s="1"/>
      <c r="I130" s="136">
        <f t="shared" si="17"/>
        <v>108.78594822941444</v>
      </c>
      <c r="J130" s="26">
        <f>IF(A130&gt;200,"",C130*'Adj-Gilts'!$C$6)</f>
        <v>1035.0476366891253</v>
      </c>
      <c r="K130" s="27">
        <f>IF(A130&gt;200,"",D130*'Adj-Gilts'!$C$7)</f>
        <v>0.32874762298427751</v>
      </c>
      <c r="L130" s="1">
        <f t="shared" si="12"/>
        <v>3.0418470890292197</v>
      </c>
      <c r="M130" s="27">
        <f t="shared" si="13"/>
        <v>3.148456640669389</v>
      </c>
      <c r="N130" s="31">
        <f t="shared" si="19"/>
        <v>237.28132540920851</v>
      </c>
    </row>
    <row r="131" spans="1:14" x14ac:dyDescent="0.25">
      <c r="A131" s="121">
        <f t="shared" si="14"/>
        <v>149</v>
      </c>
      <c r="B131" s="136">
        <f>IF(A131&gt;200,"",IF($C$1='Adj-Mixed'!$A$21,VLOOKUP(A131,'337'!$A$6:$AB$188,3,FALSE),IF($C$1='Adj-Mixed'!$A$20,VLOOKUP(A131,'337'!$A$6:$AB$188,12,FALSE),IF($C$1='Adj-Mixed'!$A$19,VLOOKUP(A131,'337'!$A$6:$AB$188,21,FALSE)))))</f>
        <v>100.09031058334716</v>
      </c>
      <c r="C131" s="135">
        <f t="shared" si="15"/>
        <v>937.43682672837281</v>
      </c>
      <c r="D131" s="27">
        <f t="shared" si="16"/>
        <v>0.36849849572658266</v>
      </c>
      <c r="E131" s="27">
        <f>IF(A131&gt;200,"",IF($C$1='Adj-Mixed'!$A$21,VLOOKUP(A131,'337'!$A$7:$AB$188,9,FALSE),IF($C$1='Adj-Mixed'!$A$20,VLOOKUP(A131,'337'!$A$7:$AB$188,18,FALSE),IF($C$1='Adj-Mixed'!$A$19,VLOOKUP(A131,'337'!$A$7:$AB$188,27,FALSE)))))</f>
        <v>2.7137152840427787</v>
      </c>
      <c r="F131" s="27">
        <f t="shared" si="11"/>
        <v>2.5439366445173475</v>
      </c>
      <c r="G131" s="28">
        <f t="shared" si="18"/>
        <v>193.63939371379004</v>
      </c>
      <c r="H131" s="1"/>
      <c r="I131" s="136">
        <f t="shared" si="17"/>
        <v>109.81936397072496</v>
      </c>
      <c r="J131" s="26">
        <f>IF(A131&gt;200,"",C131*'Adj-Gilts'!$C$6)</f>
        <v>1033.415741310517</v>
      </c>
      <c r="K131" s="27">
        <f>IF(A131&gt;200,"",D131*'Adj-Gilts'!$C$7)</f>
        <v>0.32715652340186863</v>
      </c>
      <c r="L131" s="1">
        <f t="shared" si="12"/>
        <v>3.0566408690302409</v>
      </c>
      <c r="M131" s="27">
        <f t="shared" si="13"/>
        <v>3.1587807895889091</v>
      </c>
      <c r="N131" s="31">
        <f t="shared" si="19"/>
        <v>240.44010619879742</v>
      </c>
    </row>
    <row r="132" spans="1:14" x14ac:dyDescent="0.25">
      <c r="A132" s="121">
        <f t="shared" si="14"/>
        <v>150</v>
      </c>
      <c r="B132" s="136">
        <f>IF(A132&gt;200,"",IF($C$1='Adj-Mixed'!$A$21,VLOOKUP(A132,'337'!$A$6:$AB$188,3,FALSE),IF($C$1='Adj-Mixed'!$A$20,VLOOKUP(A132,'337'!$A$6:$AB$188,12,FALSE),IF($C$1='Adj-Mixed'!$A$19,VLOOKUP(A132,'337'!$A$6:$AB$188,21,FALSE)))))</f>
        <v>101.02620013953069</v>
      </c>
      <c r="C132" s="135">
        <f t="shared" si="15"/>
        <v>935.88955618352543</v>
      </c>
      <c r="D132" s="27">
        <f t="shared" si="16"/>
        <v>0.36671137435207374</v>
      </c>
      <c r="E132" s="27">
        <f>IF(A132&gt;200,"",IF($C$1='Adj-Mixed'!$A$21,VLOOKUP(A132,'337'!$A$7:$AB$188,9,FALSE),IF($C$1='Adj-Mixed'!$A$20,VLOOKUP(A132,'337'!$A$7:$AB$188,18,FALSE),IF($C$1='Adj-Mixed'!$A$19,VLOOKUP(A132,'337'!$A$7:$AB$188,27,FALSE)))))</f>
        <v>2.726940231310949</v>
      </c>
      <c r="F132" s="27">
        <f t="shared" ref="F132:F185" si="20">IF(A132&gt;200,"",(E132*C132)/1000)</f>
        <v>2.5521148828206042</v>
      </c>
      <c r="G132" s="28">
        <f t="shared" si="18"/>
        <v>196.19150859661065</v>
      </c>
      <c r="H132" s="1"/>
      <c r="I132" s="136">
        <f t="shared" si="17"/>
        <v>110.85107402511181</v>
      </c>
      <c r="J132" s="26">
        <f>IF(A132&gt;200,"",C132*'Adj-Gilts'!$C$6)</f>
        <v>1031.7100543868532</v>
      </c>
      <c r="K132" s="27">
        <f>IF(A132&gt;200,"",D132*'Adj-Gilts'!$C$7)</f>
        <v>0.32556989978586526</v>
      </c>
      <c r="L132" s="1">
        <f t="shared" ref="L132:L185" si="21">IF(A132&gt;200,"",1/K132)</f>
        <v>3.0715370206450987</v>
      </c>
      <c r="M132" s="27">
        <f t="shared" ref="M132:M185" si="22">IF(A132&gt;200,"",(J132/1000)/K132)</f>
        <v>3.1689356266209878</v>
      </c>
      <c r="N132" s="31">
        <f t="shared" si="19"/>
        <v>243.60904182541842</v>
      </c>
    </row>
    <row r="133" spans="1:14" x14ac:dyDescent="0.25">
      <c r="A133" s="121">
        <f t="shared" ref="A133:A185" si="23">A132+1</f>
        <v>151</v>
      </c>
      <c r="B133" s="136">
        <f>IF(A133&gt;200,"",IF($C$1='Adj-Mixed'!$A$21,VLOOKUP(A133,'337'!$A$6:$AB$188,3,FALSE),IF($C$1='Adj-Mixed'!$A$20,VLOOKUP(A133,'337'!$A$6:$AB$188,12,FALSE),IF($C$1='Adj-Mixed'!$A$19,VLOOKUP(A133,'337'!$A$6:$AB$188,21,FALSE)))))</f>
        <v>101.96047687796181</v>
      </c>
      <c r="C133" s="135">
        <f t="shared" ref="C133:C185" si="24">IF(A133&gt;200,"",(B133-B132)*1000)</f>
        <v>934.27673843112302</v>
      </c>
      <c r="D133" s="27">
        <f t="shared" ref="D133:D185" si="25">IF(A133&gt;200,"",1/E133)</f>
        <v>0.36492921223466135</v>
      </c>
      <c r="E133" s="27">
        <f>IF(A133&gt;200,"",IF($C$1='Adj-Mixed'!$A$21,VLOOKUP(A133,'337'!$A$7:$AB$188,9,FALSE),IF($C$1='Adj-Mixed'!$A$20,VLOOKUP(A133,'337'!$A$7:$AB$188,18,FALSE),IF($C$1='Adj-Mixed'!$A$19,VLOOKUP(A133,'337'!$A$7:$AB$188,27,FALSE)))))</f>
        <v>2.7402574704185847</v>
      </c>
      <c r="F133" s="27">
        <f t="shared" si="20"/>
        <v>2.5601588119241949</v>
      </c>
      <c r="G133" s="28">
        <f t="shared" si="18"/>
        <v>198.75166740853484</v>
      </c>
      <c r="H133" s="1"/>
      <c r="I133" s="136">
        <f t="shared" ref="I133:I185" si="26">IF(A133&gt;200,"",I132+(J133/1000))</f>
        <v>111.8810061343554</v>
      </c>
      <c r="J133" s="26">
        <f>IF(A133&gt;200,"",C133*'Adj-Gilts'!$C$6)</f>
        <v>1029.93210924359</v>
      </c>
      <c r="K133" s="27">
        <f>IF(A133&gt;200,"",D133*'Adj-Gilts'!$C$7)</f>
        <v>0.32398767904620784</v>
      </c>
      <c r="L133" s="1">
        <f t="shared" si="21"/>
        <v>3.0865371267941883</v>
      </c>
      <c r="M133" s="27">
        <f t="shared" si="22"/>
        <v>3.1789236932577882</v>
      </c>
      <c r="N133" s="31">
        <f t="shared" si="19"/>
        <v>246.7879655186762</v>
      </c>
    </row>
    <row r="134" spans="1:14" x14ac:dyDescent="0.25">
      <c r="A134" s="121">
        <f t="shared" si="23"/>
        <v>152</v>
      </c>
      <c r="B134" s="136">
        <f>IF(A134&gt;200,"",IF($C$1='Adj-Mixed'!$A$21,VLOOKUP(A134,'337'!$A$6:$AB$188,3,FALSE),IF($C$1='Adj-Mixed'!$A$20,VLOOKUP(A134,'337'!$A$6:$AB$188,12,FALSE),IF($C$1='Adj-Mixed'!$A$19,VLOOKUP(A134,'337'!$A$6:$AB$188,21,FALSE)))))</f>
        <v>102.8930766335839</v>
      </c>
      <c r="C134" s="135">
        <f t="shared" si="24"/>
        <v>932.59975562209263</v>
      </c>
      <c r="D134" s="27">
        <f t="shared" si="25"/>
        <v>0.36315193389697298</v>
      </c>
      <c r="E134" s="27">
        <f>IF(A134&gt;200,"",IF($C$1='Adj-Mixed'!$A$21,VLOOKUP(A134,'337'!$A$7:$AB$188,9,FALSE),IF($C$1='Adj-Mixed'!$A$20,VLOOKUP(A134,'337'!$A$7:$AB$188,18,FALSE),IF($C$1='Adj-Mixed'!$A$19,VLOOKUP(A134,'337'!$A$7:$AB$188,27,FALSE)))))</f>
        <v>2.753668386862294</v>
      </c>
      <c r="F134" s="27">
        <f t="shared" si="20"/>
        <v>2.5680704646520578</v>
      </c>
      <c r="G134" s="28">
        <f t="shared" ref="G134:G185" si="27">IF(A134&gt;200,"",F134+G133)</f>
        <v>201.31973787318691</v>
      </c>
      <c r="H134" s="1"/>
      <c r="I134" s="136">
        <f t="shared" si="26"/>
        <v>112.90908956389777</v>
      </c>
      <c r="J134" s="26">
        <f>IF(A134&gt;200,"",C134*'Adj-Gilts'!$C$6)</f>
        <v>1028.083429542359</v>
      </c>
      <c r="K134" s="27">
        <f>IF(A134&gt;200,"",D134*'Adj-Gilts'!$C$7)</f>
        <v>0.32240979417335619</v>
      </c>
      <c r="L134" s="1">
        <f t="shared" si="21"/>
        <v>3.1016427480559448</v>
      </c>
      <c r="M134" s="27">
        <f t="shared" si="22"/>
        <v>3.1887475136365429</v>
      </c>
      <c r="N134" s="31">
        <f t="shared" ref="N134:N185" si="28">IF(A134&gt;200,"",N133+M134)</f>
        <v>249.97671303231274</v>
      </c>
    </row>
    <row r="135" spans="1:14" x14ac:dyDescent="0.25">
      <c r="A135" s="121">
        <f t="shared" si="23"/>
        <v>153</v>
      </c>
      <c r="B135" s="136">
        <f>IF(A135&gt;200,"",IF($C$1='Adj-Mixed'!$A$21,VLOOKUP(A135,'337'!$A$6:$AB$188,3,FALSE),IF($C$1='Adj-Mixed'!$A$20,VLOOKUP(A135,'337'!$A$6:$AB$188,12,FALSE),IF($C$1='Adj-Mixed'!$A$19,VLOOKUP(A135,'337'!$A$6:$AB$188,21,FALSE)))))</f>
        <v>103.82393661430683</v>
      </c>
      <c r="C135" s="135">
        <f t="shared" si="24"/>
        <v>930.85998072292853</v>
      </c>
      <c r="D135" s="27">
        <f t="shared" si="25"/>
        <v>0.36137947043174962</v>
      </c>
      <c r="E135" s="27">
        <f>IF(A135&gt;200,"",IF($C$1='Adj-Mixed'!$A$21,VLOOKUP(A135,'337'!$A$7:$AB$188,9,FALSE),IF($C$1='Adj-Mixed'!$A$20,VLOOKUP(A135,'337'!$A$7:$AB$188,18,FALSE),IF($C$1='Adj-Mixed'!$A$19,VLOOKUP(A135,'337'!$A$7:$AB$188,27,FALSE)))))</f>
        <v>2.7671743466923386</v>
      </c>
      <c r="F135" s="27">
        <f t="shared" si="20"/>
        <v>2.5758518590190129</v>
      </c>
      <c r="G135" s="28">
        <f t="shared" si="27"/>
        <v>203.89558973220593</v>
      </c>
      <c r="H135" s="1"/>
      <c r="I135" s="136">
        <f t="shared" si="26"/>
        <v>113.93525509271778</v>
      </c>
      <c r="J135" s="26">
        <f>IF(A135&gt;200,"",C135*'Adj-Gilts'!$C$6)</f>
        <v>1026.1655288200163</v>
      </c>
      <c r="K135" s="27">
        <f>IF(A135&gt;200,"",D135*'Adj-Gilts'!$C$7)</f>
        <v>0.32083618399078012</v>
      </c>
      <c r="L135" s="1">
        <f t="shared" si="21"/>
        <v>3.1168554231050729</v>
      </c>
      <c r="M135" s="27">
        <f t="shared" si="22"/>
        <v>3.1984095935061534</v>
      </c>
      <c r="N135" s="31">
        <f t="shared" si="28"/>
        <v>253.17512262581889</v>
      </c>
    </row>
    <row r="136" spans="1:14" x14ac:dyDescent="0.25">
      <c r="A136" s="121">
        <f t="shared" si="23"/>
        <v>154</v>
      </c>
      <c r="B136" s="136">
        <f>IF(A136&gt;200,"",IF($C$1='Adj-Mixed'!$A$21,VLOOKUP(A136,'337'!$A$6:$AB$188,3,FALSE),IF($C$1='Adj-Mixed'!$A$20,VLOOKUP(A136,'337'!$A$6:$AB$188,12,FALSE),IF($C$1='Adj-Mixed'!$A$19,VLOOKUP(A136,'337'!$A$6:$AB$188,21,FALSE)))))</f>
        <v>104.7529953914225</v>
      </c>
      <c r="C136" s="135">
        <f t="shared" si="24"/>
        <v>929.05877711567086</v>
      </c>
      <c r="D136" s="27">
        <f t="shared" si="25"/>
        <v>0.35961175923060146</v>
      </c>
      <c r="E136" s="27">
        <f>IF(A136&gt;200,"",IF($C$1='Adj-Mixed'!$A$21,VLOOKUP(A136,'337'!$A$7:$AB$188,9,FALSE),IF($C$1='Adj-Mixed'!$A$20,VLOOKUP(A136,'337'!$A$7:$AB$188,18,FALSE),IF($C$1='Adj-Mixed'!$A$19,VLOOKUP(A136,'337'!$A$7:$AB$188,27,FALSE)))))</f>
        <v>2.7807766969009178</v>
      </c>
      <c r="F136" s="27">
        <f t="shared" si="20"/>
        <v>2.5835049974545212</v>
      </c>
      <c r="G136" s="28">
        <f t="shared" si="27"/>
        <v>206.47909472966046</v>
      </c>
      <c r="H136" s="1"/>
      <c r="I136" s="136">
        <f t="shared" si="26"/>
        <v>114.95943500276545</v>
      </c>
      <c r="J136" s="26">
        <f>IF(A136&gt;200,"",C136*'Adj-Gilts'!$C$6)</f>
        <v>1024.1799100476649</v>
      </c>
      <c r="K136" s="27">
        <f>IF(A136&gt;200,"",D136*'Adj-Gilts'!$C$7)</f>
        <v>0.31926679291414661</v>
      </c>
      <c r="L136" s="1">
        <f t="shared" si="21"/>
        <v>3.1321766691498918</v>
      </c>
      <c r="M136" s="27">
        <f t="shared" si="22"/>
        <v>3.207912419263331</v>
      </c>
      <c r="N136" s="31">
        <f t="shared" si="28"/>
        <v>256.38303504508224</v>
      </c>
    </row>
    <row r="137" spans="1:14" x14ac:dyDescent="0.25">
      <c r="A137" s="121">
        <f t="shared" si="23"/>
        <v>155</v>
      </c>
      <c r="B137" s="136">
        <f>IF(A137&gt;200,"",IF($C$1='Adj-Mixed'!$A$21,VLOOKUP(A137,'337'!$A$6:$AB$188,3,FALSE),IF($C$1='Adj-Mixed'!$A$20,VLOOKUP(A137,'337'!$A$6:$AB$188,12,FALSE),IF($C$1='Adj-Mixed'!$A$19,VLOOKUP(A137,'337'!$A$6:$AB$188,21,FALSE)))))</f>
        <v>105.6801928896386</v>
      </c>
      <c r="C137" s="135">
        <f t="shared" si="24"/>
        <v>927.19749821610264</v>
      </c>
      <c r="D137" s="27">
        <f t="shared" si="25"/>
        <v>0.35784874372029529</v>
      </c>
      <c r="E137" s="27">
        <f>IF(A137&gt;200,"",IF($C$1='Adj-Mixed'!$A$21,VLOOKUP(A137,'337'!$A$7:$AB$188,9,FALSE),IF($C$1='Adj-Mixed'!$A$20,VLOOKUP(A137,'337'!$A$7:$AB$188,18,FALSE),IF($C$1='Adj-Mixed'!$A$19,VLOOKUP(A137,'337'!$A$7:$AB$188,27,FALSE)))))</f>
        <v>2.7944767658081493</v>
      </c>
      <c r="F137" s="27">
        <f t="shared" si="20"/>
        <v>2.5910318660803418</v>
      </c>
      <c r="G137" s="28">
        <f t="shared" si="27"/>
        <v>209.07012659574079</v>
      </c>
      <c r="H137" s="1"/>
      <c r="I137" s="136">
        <f t="shared" si="26"/>
        <v>115.9815630679752</v>
      </c>
      <c r="J137" s="26">
        <f>IF(A137&gt;200,"",C137*'Adj-Gilts'!$C$6)</f>
        <v>1022.1280652097618</v>
      </c>
      <c r="K137" s="27">
        <f>IF(A137&gt;200,"",D137*'Adj-Gilts'!$C$7)</f>
        <v>0.31770157071719279</v>
      </c>
      <c r="L137" s="1">
        <f t="shared" si="21"/>
        <v>3.1476079823670946</v>
      </c>
      <c r="M137" s="27">
        <f t="shared" si="22"/>
        <v>3.2172584570556801</v>
      </c>
      <c r="N137" s="31">
        <f t="shared" si="28"/>
        <v>259.6002935021379</v>
      </c>
    </row>
    <row r="138" spans="1:14" x14ac:dyDescent="0.25">
      <c r="A138" s="121">
        <f t="shared" si="23"/>
        <v>156</v>
      </c>
      <c r="B138" s="136">
        <f>IF(A138&gt;200,"",IF($C$1='Adj-Mixed'!$A$21,VLOOKUP(A138,'337'!$A$6:$AB$188,3,FALSE),IF($C$1='Adj-Mixed'!$A$20,VLOOKUP(A138,'337'!$A$6:$AB$188,12,FALSE),IF($C$1='Adj-Mixed'!$A$19,VLOOKUP(A138,'337'!$A$6:$AB$188,21,FALSE)))))</f>
        <v>106.60547037674819</v>
      </c>
      <c r="C138" s="135">
        <f t="shared" si="24"/>
        <v>925.27748710958235</v>
      </c>
      <c r="D138" s="27">
        <f t="shared" si="25"/>
        <v>0.35609037310630287</v>
      </c>
      <c r="E138" s="27">
        <f>IF(A138&gt;200,"",IF($C$1='Adj-Mixed'!$A$21,VLOOKUP(A138,'337'!$A$7:$AB$188,9,FALSE),IF($C$1='Adj-Mixed'!$A$20,VLOOKUP(A138,'337'!$A$7:$AB$188,18,FALSE),IF($C$1='Adj-Mixed'!$A$19,VLOOKUP(A138,'337'!$A$7:$AB$188,27,FALSE)))))</f>
        <v>2.8082758634462501</v>
      </c>
      <c r="F138" s="27">
        <f t="shared" si="20"/>
        <v>2.5984344340400387</v>
      </c>
      <c r="G138" s="28">
        <f t="shared" si="27"/>
        <v>211.66856102978082</v>
      </c>
      <c r="H138" s="1"/>
      <c r="I138" s="136">
        <f t="shared" si="26"/>
        <v>117.00157454287786</v>
      </c>
      <c r="J138" s="26">
        <f>IF(A138&gt;200,"",C138*'Adj-Gilts'!$C$6)</f>
        <v>1020.0114749026646</v>
      </c>
      <c r="K138" s="27">
        <f>IF(A138&gt;200,"",D138*'Adj-Gilts'!$C$7)</f>
        <v>0.31614047230404596</v>
      </c>
      <c r="L138" s="1">
        <f t="shared" si="21"/>
        <v>3.1631508383344755</v>
      </c>
      <c r="M138" s="27">
        <f t="shared" si="22"/>
        <v>3.2264501519491486</v>
      </c>
      <c r="N138" s="31">
        <f t="shared" si="28"/>
        <v>262.82674365408707</v>
      </c>
    </row>
    <row r="139" spans="1:14" x14ac:dyDescent="0.25">
      <c r="A139" s="121">
        <f t="shared" si="23"/>
        <v>157</v>
      </c>
      <c r="B139" s="136">
        <f>IF(A139&gt;200,"",IF($C$1='Adj-Mixed'!$A$21,VLOOKUP(A139,'337'!$A$6:$AB$188,3,FALSE),IF($C$1='Adj-Mixed'!$A$20,VLOOKUP(A139,'337'!$A$6:$AB$188,12,FALSE),IF($C$1='Adj-Mixed'!$A$19,VLOOKUP(A139,'337'!$A$6:$AB$188,21,FALSE)))))</f>
        <v>107.52877045295195</v>
      </c>
      <c r="C139" s="135">
        <f t="shared" si="24"/>
        <v>923.30007620375909</v>
      </c>
      <c r="D139" s="27">
        <f t="shared" si="25"/>
        <v>0.35433660212328311</v>
      </c>
      <c r="E139" s="27">
        <f>IF(A139&gt;200,"",IF($C$1='Adj-Mixed'!$A$21,VLOOKUP(A139,'337'!$A$7:$AB$188,9,FALSE),IF($C$1='Adj-Mixed'!$A$20,VLOOKUP(A139,'337'!$A$7:$AB$188,18,FALSE),IF($C$1='Adj-Mixed'!$A$19,VLOOKUP(A139,'337'!$A$7:$AB$188,27,FALSE)))))</f>
        <v>2.822175281942997</v>
      </c>
      <c r="F139" s="27">
        <f t="shared" si="20"/>
        <v>2.6057146528783348</v>
      </c>
      <c r="G139" s="28">
        <f t="shared" si="27"/>
        <v>214.27427568265915</v>
      </c>
      <c r="H139" s="1"/>
      <c r="I139" s="136">
        <f t="shared" si="26"/>
        <v>118.01940615082965</v>
      </c>
      <c r="J139" s="26">
        <f>IF(A139&gt;200,"",C139*'Adj-Gilts'!$C$6)</f>
        <v>1017.8316079517913</v>
      </c>
      <c r="K139" s="27">
        <f>IF(A139&gt;200,"",D139*'Adj-Gilts'!$C$7)</f>
        <v>0.31458345748769906</v>
      </c>
      <c r="L139" s="1">
        <f t="shared" si="21"/>
        <v>3.1788066924628491</v>
      </c>
      <c r="M139" s="27">
        <f t="shared" si="22"/>
        <v>3.2354899271573774</v>
      </c>
      <c r="N139" s="31">
        <f t="shared" si="28"/>
        <v>266.06223358124447</v>
      </c>
    </row>
    <row r="140" spans="1:14" x14ac:dyDescent="0.25">
      <c r="A140" s="121">
        <f t="shared" si="23"/>
        <v>158</v>
      </c>
      <c r="B140" s="136">
        <f>IF(A140&gt;200,"",IF($C$1='Adj-Mixed'!$A$21,VLOOKUP(A140,'337'!$A$6:$AB$188,3,FALSE),IF($C$1='Adj-Mixed'!$A$20,VLOOKUP(A140,'337'!$A$6:$AB$188,12,FALSE),IF($C$1='Adj-Mixed'!$A$19,VLOOKUP(A140,'337'!$A$6:$AB$188,21,FALSE)))))</f>
        <v>108.45003703985127</v>
      </c>
      <c r="C140" s="135">
        <f t="shared" si="24"/>
        <v>921.26658689932128</v>
      </c>
      <c r="D140" s="27">
        <f t="shared" si="25"/>
        <v>0.35258739079291285</v>
      </c>
      <c r="E140" s="27">
        <f>IF(A140&gt;200,"",IF($C$1='Adj-Mixed'!$A$21,VLOOKUP(A140,'337'!$A$7:$AB$188,9,FALSE),IF($C$1='Adj-Mixed'!$A$20,VLOOKUP(A140,'337'!$A$7:$AB$188,18,FALSE),IF($C$1='Adj-Mixed'!$A$19,VLOOKUP(A140,'337'!$A$7:$AB$188,27,FALSE)))))</f>
        <v>2.8361762958997465</v>
      </c>
      <c r="F140" s="27">
        <f t="shared" si="20"/>
        <v>2.6128744559683192</v>
      </c>
      <c r="G140" s="28">
        <f t="shared" si="27"/>
        <v>216.88715013862748</v>
      </c>
      <c r="H140" s="1"/>
      <c r="I140" s="136">
        <f t="shared" si="26"/>
        <v>119.03499607187831</v>
      </c>
      <c r="J140" s="26">
        <f>IF(A140&gt;200,"",C140*'Adj-Gilts'!$C$6)</f>
        <v>1015.5899210486572</v>
      </c>
      <c r="K140" s="27">
        <f>IF(A140&gt;200,"",D140*'Adj-Gilts'!$C$7)</f>
        <v>0.31303049077501077</v>
      </c>
      <c r="L140" s="1">
        <f t="shared" si="21"/>
        <v>3.194576980421838</v>
      </c>
      <c r="M140" s="27">
        <f t="shared" si="22"/>
        <v>3.2443801833304722</v>
      </c>
      <c r="N140" s="31">
        <f t="shared" si="28"/>
        <v>269.30661376457493</v>
      </c>
    </row>
    <row r="141" spans="1:14" x14ac:dyDescent="0.25">
      <c r="A141" s="121">
        <f t="shared" si="23"/>
        <v>159</v>
      </c>
      <c r="B141" s="136">
        <f>IF(A141&gt;200,"",IF($C$1='Adj-Mixed'!$A$21,VLOOKUP(A141,'337'!$A$6:$AB$188,3,FALSE),IF($C$1='Adj-Mixed'!$A$20,VLOOKUP(A141,'337'!$A$6:$AB$188,12,FALSE),IF($C$1='Adj-Mixed'!$A$19,VLOOKUP(A141,'337'!$A$6:$AB$188,21,FALSE)))))</f>
        <v>109.36921536912814</v>
      </c>
      <c r="C141" s="135">
        <f t="shared" si="24"/>
        <v>919.17832927687471</v>
      </c>
      <c r="D141" s="27">
        <f t="shared" si="25"/>
        <v>0.35084270418830588</v>
      </c>
      <c r="E141" s="27">
        <f>IF(A141&gt;200,"",IF($C$1='Adj-Mixed'!$A$21,VLOOKUP(A141,'337'!$A$7:$AB$188,9,FALSE),IF($C$1='Adj-Mixed'!$A$20,VLOOKUP(A141,'337'!$A$7:$AB$188,18,FALSE),IF($C$1='Adj-Mixed'!$A$19,VLOOKUP(A141,'337'!$A$7:$AB$188,27,FALSE)))))</f>
        <v>2.8502801627685423</v>
      </c>
      <c r="F141" s="27">
        <f t="shared" si="20"/>
        <v>2.6199157579846073</v>
      </c>
      <c r="G141" s="28">
        <f t="shared" si="27"/>
        <v>219.50706589661209</v>
      </c>
      <c r="H141" s="1"/>
      <c r="I141" s="136">
        <f t="shared" si="26"/>
        <v>120.048283930284</v>
      </c>
      <c r="J141" s="26">
        <f>IF(A141&gt;200,"",C141*'Adj-Gilts'!$C$6)</f>
        <v>1013.2878584056954</v>
      </c>
      <c r="K141" s="27">
        <f>IF(A141&gt;200,"",D141*'Adj-Gilts'!$C$7)</f>
        <v>0.31148154115755416</v>
      </c>
      <c r="L141" s="1">
        <f t="shared" si="21"/>
        <v>3.2104631185646348</v>
      </c>
      <c r="M141" s="27">
        <f t="shared" si="22"/>
        <v>3.2531232979008293</v>
      </c>
      <c r="N141" s="31">
        <f t="shared" si="28"/>
        <v>272.55973706247579</v>
      </c>
    </row>
    <row r="142" spans="1:14" x14ac:dyDescent="0.25">
      <c r="A142" s="121">
        <f t="shared" si="23"/>
        <v>160</v>
      </c>
      <c r="B142" s="136">
        <f>IF(A142&gt;200,"",IF($C$1='Adj-Mixed'!$A$21,VLOOKUP(A142,'337'!$A$6:$AB$188,3,FALSE),IF($C$1='Adj-Mixed'!$A$20,VLOOKUP(A142,'337'!$A$6:$AB$188,12,FALSE),IF($C$1='Adj-Mixed'!$A$19,VLOOKUP(A142,'337'!$A$6:$AB$188,21,FALSE)))))</f>
        <v>110.28625197092843</v>
      </c>
      <c r="C142" s="135">
        <f t="shared" si="24"/>
        <v>917.0366018002909</v>
      </c>
      <c r="D142" s="27">
        <f t="shared" si="25"/>
        <v>0.34910251220513489</v>
      </c>
      <c r="E142" s="27">
        <f>IF(A142&gt;200,"",IF($C$1='Adj-Mixed'!$A$21,VLOOKUP(A142,'337'!$A$7:$AB$188,9,FALSE),IF($C$1='Adj-Mixed'!$A$20,VLOOKUP(A142,'337'!$A$7:$AB$188,18,FALSE),IF($C$1='Adj-Mixed'!$A$19,VLOOKUP(A142,'337'!$A$7:$AB$188,27,FALSE)))))</f>
        <v>2.8644881232260899</v>
      </c>
      <c r="F142" s="27">
        <f t="shared" si="20"/>
        <v>2.6268404544205466</v>
      </c>
      <c r="G142" s="28">
        <f t="shared" si="27"/>
        <v>222.13390635103264</v>
      </c>
      <c r="H142" s="1"/>
      <c r="I142" s="136">
        <f t="shared" si="26"/>
        <v>121.05921078171323</v>
      </c>
      <c r="J142" s="26">
        <f>IF(A142&gt;200,"",C142*'Adj-Gilts'!$C$6)</f>
        <v>1010.9268514292324</v>
      </c>
      <c r="K142" s="27">
        <f>IF(A142&gt;200,"",D142*'Adj-Gilts'!$C$7)</f>
        <v>0.30993658190841672</v>
      </c>
      <c r="L142" s="1">
        <f t="shared" si="21"/>
        <v>3.226466504349236</v>
      </c>
      <c r="M142" s="27">
        <f t="shared" si="22"/>
        <v>3.2617216244836551</v>
      </c>
      <c r="N142" s="31">
        <f t="shared" si="28"/>
        <v>275.82145868695943</v>
      </c>
    </row>
    <row r="143" spans="1:14" x14ac:dyDescent="0.25">
      <c r="A143" s="121">
        <f t="shared" si="23"/>
        <v>161</v>
      </c>
      <c r="B143" s="136">
        <f>IF(A143&gt;200,"",IF($C$1='Adj-Mixed'!$A$21,VLOOKUP(A143,'337'!$A$6:$AB$188,3,FALSE),IF($C$1='Adj-Mixed'!$A$20,VLOOKUP(A143,'337'!$A$6:$AB$188,12,FALSE),IF($C$1='Adj-Mixed'!$A$19,VLOOKUP(A143,'337'!$A$6:$AB$188,21,FALSE)))))</f>
        <v>111.20109466196521</v>
      </c>
      <c r="C143" s="135">
        <f t="shared" si="24"/>
        <v>914.84269103678173</v>
      </c>
      <c r="D143" s="27">
        <f t="shared" si="25"/>
        <v>0.34736678933954068</v>
      </c>
      <c r="E143" s="27">
        <f>IF(A143&gt;200,"",IF($C$1='Adj-Mixed'!$A$21,VLOOKUP(A143,'337'!$A$7:$AB$188,9,FALSE),IF($C$1='Adj-Mixed'!$A$20,VLOOKUP(A143,'337'!$A$7:$AB$188,18,FALSE),IF($C$1='Adj-Mixed'!$A$19,VLOOKUP(A143,'337'!$A$7:$AB$188,27,FALSE)))))</f>
        <v>2.8788014015425345</v>
      </c>
      <c r="F143" s="27">
        <f t="shared" si="20"/>
        <v>2.6336504211476313</v>
      </c>
      <c r="G143" s="28">
        <f t="shared" si="27"/>
        <v>224.76755677218026</v>
      </c>
      <c r="H143" s="1"/>
      <c r="I143" s="136">
        <f t="shared" si="26"/>
        <v>122.06771910012414</v>
      </c>
      <c r="J143" s="26">
        <f>IF(A143&gt;200,"",C143*'Adj-Gilts'!$C$6)</f>
        <v>1008.5083184109026</v>
      </c>
      <c r="K143" s="27">
        <f>IF(A143&gt;200,"",D143*'Adj-Gilts'!$C$7)</f>
        <v>0.3083955903850259</v>
      </c>
      <c r="L143" s="1">
        <f t="shared" si="21"/>
        <v>3.2425885167538206</v>
      </c>
      <c r="M143" s="27">
        <f t="shared" si="22"/>
        <v>3.2701774923298985</v>
      </c>
      <c r="N143" s="31">
        <f t="shared" si="28"/>
        <v>279.09163617928931</v>
      </c>
    </row>
    <row r="144" spans="1:14" x14ac:dyDescent="0.25">
      <c r="A144" s="121">
        <f t="shared" si="23"/>
        <v>162</v>
      </c>
      <c r="B144" s="136">
        <f>IF(A144&gt;200,"",IF($C$1='Adj-Mixed'!$A$21,VLOOKUP(A144,'337'!$A$6:$AB$188,3,FALSE),IF($C$1='Adj-Mixed'!$A$20,VLOOKUP(A144,'337'!$A$6:$AB$188,12,FALSE),IF($C$1='Adj-Mixed'!$A$19,VLOOKUP(A144,'337'!$A$6:$AB$188,21,FALSE)))))</f>
        <v>112.11369253335732</v>
      </c>
      <c r="C144" s="135">
        <f t="shared" si="24"/>
        <v>912.59787139210857</v>
      </c>
      <c r="D144" s="27">
        <f t="shared" si="25"/>
        <v>0.34563551447220781</v>
      </c>
      <c r="E144" s="27">
        <f>IF(A144&gt;200,"",IF($C$1='Adj-Mixed'!$A$21,VLOOKUP(A144,'337'!$A$7:$AB$188,9,FALSE),IF($C$1='Adj-Mixed'!$A$20,VLOOKUP(A144,'337'!$A$7:$AB$188,18,FALSE),IF($C$1='Adj-Mixed'!$A$19,VLOOKUP(A144,'337'!$A$7:$AB$188,27,FALSE)))))</f>
        <v>2.8932212059487568</v>
      </c>
      <c r="F144" s="27">
        <f t="shared" si="20"/>
        <v>2.6403475140153447</v>
      </c>
      <c r="G144" s="28">
        <f t="shared" si="27"/>
        <v>227.40790428619559</v>
      </c>
      <c r="H144" s="1"/>
      <c r="I144" s="136">
        <f t="shared" si="26"/>
        <v>123.07375276435988</v>
      </c>
      <c r="J144" s="26">
        <f>IF(A144&gt;200,"",C144*'Adj-Gilts'!$C$6)</f>
        <v>1006.0336642357466</v>
      </c>
      <c r="K144" s="27">
        <f>IF(A144&gt;200,"",D144*'Adj-Gilts'!$C$7)</f>
        <v>0.30685854783744954</v>
      </c>
      <c r="L144" s="1">
        <f t="shared" si="21"/>
        <v>3.2588305166904603</v>
      </c>
      <c r="M144" s="27">
        <f t="shared" si="22"/>
        <v>3.278493205829375</v>
      </c>
      <c r="N144" s="31">
        <f t="shared" si="28"/>
        <v>282.37012938511867</v>
      </c>
    </row>
    <row r="145" spans="1:14" x14ac:dyDescent="0.25">
      <c r="A145" s="121">
        <f t="shared" si="23"/>
        <v>163</v>
      </c>
      <c r="B145" s="136">
        <f>IF(A145&gt;200,"",IF($C$1='Adj-Mixed'!$A$21,VLOOKUP(A145,'337'!$A$6:$AB$188,3,FALSE),IF($C$1='Adj-Mixed'!$A$20,VLOOKUP(A145,'337'!$A$6:$AB$188,12,FALSE),IF($C$1='Adj-Mixed'!$A$19,VLOOKUP(A145,'337'!$A$6:$AB$188,21,FALSE)))))</f>
        <v>113.02399593821917</v>
      </c>
      <c r="C145" s="135">
        <f t="shared" si="24"/>
        <v>910.30340486184969</v>
      </c>
      <c r="D145" s="27">
        <f t="shared" si="25"/>
        <v>0.34390867065895658</v>
      </c>
      <c r="E145" s="27">
        <f>IF(A145&gt;200,"",IF($C$1='Adj-Mixed'!$A$21,VLOOKUP(A145,'337'!$A$7:$AB$188,9,FALSE),IF($C$1='Adj-Mixed'!$A$20,VLOOKUP(A145,'337'!$A$7:$AB$188,18,FALSE),IF($C$1='Adj-Mixed'!$A$19,VLOOKUP(A145,'337'!$A$7:$AB$188,27,FALSE)))))</f>
        <v>2.907748728998079</v>
      </c>
      <c r="F145" s="27">
        <f t="shared" si="20"/>
        <v>2.6469335684896675</v>
      </c>
      <c r="G145" s="28">
        <f t="shared" si="27"/>
        <v>230.05483785468525</v>
      </c>
      <c r="H145" s="1"/>
      <c r="I145" s="136">
        <f t="shared" si="26"/>
        <v>124.0772570444679</v>
      </c>
      <c r="J145" s="26">
        <f>IF(A145&gt;200,"",C145*'Adj-Gilts'!$C$6)</f>
        <v>1003.5042801080131</v>
      </c>
      <c r="K145" s="27">
        <f>IF(A145&gt;200,"",D145*'Adj-Gilts'!$C$7)</f>
        <v>0.30532543922248118</v>
      </c>
      <c r="L145" s="1">
        <f t="shared" si="21"/>
        <v>3.2751938474125342</v>
      </c>
      <c r="M145" s="27">
        <f t="shared" si="22"/>
        <v>3.2866710440619085</v>
      </c>
      <c r="N145" s="31">
        <f t="shared" si="28"/>
        <v>285.65680042918058</v>
      </c>
    </row>
    <row r="146" spans="1:14" x14ac:dyDescent="0.25">
      <c r="A146" s="121">
        <f t="shared" si="23"/>
        <v>164</v>
      </c>
      <c r="B146" s="136">
        <f>IF(A146&gt;200,"",IF($C$1='Adj-Mixed'!$A$21,VLOOKUP(A146,'337'!$A$6:$AB$188,3,FALSE),IF($C$1='Adj-Mixed'!$A$20,VLOOKUP(A146,'337'!$A$6:$AB$188,12,FALSE),IF($C$1='Adj-Mixed'!$A$19,VLOOKUP(A146,'337'!$A$6:$AB$188,21,FALSE)))))</f>
        <v>113.93195647901655</v>
      </c>
      <c r="C146" s="135">
        <f t="shared" si="24"/>
        <v>907.96054079737587</v>
      </c>
      <c r="D146" s="27">
        <f t="shared" si="25"/>
        <v>0.34218624492733446</v>
      </c>
      <c r="E146" s="27">
        <f>IF(A146&gt;200,"",IF($C$1='Adj-Mixed'!$A$21,VLOOKUP(A146,'337'!$A$7:$AB$188,9,FALSE),IF($C$1='Adj-Mixed'!$A$20,VLOOKUP(A146,'337'!$A$7:$AB$188,18,FALSE),IF($C$1='Adj-Mixed'!$A$19,VLOOKUP(A146,'337'!$A$7:$AB$188,27,FALSE)))))</f>
        <v>2.9223851479253842</v>
      </c>
      <c r="F146" s="27">
        <f t="shared" si="20"/>
        <v>2.6534103993285512</v>
      </c>
      <c r="G146" s="28">
        <f t="shared" si="27"/>
        <v>232.7082482540138</v>
      </c>
      <c r="H146" s="1"/>
      <c r="I146" s="136">
        <f t="shared" si="26"/>
        <v>125.07817858776107</v>
      </c>
      <c r="J146" s="26">
        <f>IF(A146&gt;200,"",C146*'Adj-Gilts'!$C$6)</f>
        <v>1000.9215432931733</v>
      </c>
      <c r="K146" s="27">
        <f>IF(A146&gt;200,"",D146*'Adj-Gilts'!$C$7)</f>
        <v>0.30379625302305224</v>
      </c>
      <c r="L146" s="1">
        <f t="shared" si="21"/>
        <v>3.291679834919226</v>
      </c>
      <c r="M146" s="27">
        <f t="shared" si="22"/>
        <v>3.2947132603943694</v>
      </c>
      <c r="N146" s="31">
        <f t="shared" si="28"/>
        <v>288.95151368957494</v>
      </c>
    </row>
    <row r="147" spans="1:14" x14ac:dyDescent="0.25">
      <c r="A147" s="121">
        <f t="shared" si="23"/>
        <v>165</v>
      </c>
      <c r="B147" s="136">
        <f>IF(A147&gt;200,"",IF($C$1='Adj-Mixed'!$A$21,VLOOKUP(A147,'337'!$A$6:$AB$188,3,FALSE),IF($C$1='Adj-Mixed'!$A$20,VLOOKUP(A147,'337'!$A$6:$AB$188,12,FALSE),IF($C$1='Adj-Mixed'!$A$19,VLOOKUP(A147,'337'!$A$6:$AB$188,21,FALSE)))))</f>
        <v>114.83752699470372</v>
      </c>
      <c r="C147" s="135">
        <f t="shared" si="24"/>
        <v>905.57051568717384</v>
      </c>
      <c r="D147" s="27">
        <f t="shared" si="25"/>
        <v>0.34046822807945093</v>
      </c>
      <c r="E147" s="27">
        <f>IF(A147&gt;200,"",IF($C$1='Adj-Mixed'!$A$21,VLOOKUP(A147,'337'!$A$7:$AB$188,9,FALSE),IF($C$1='Adj-Mixed'!$A$20,VLOOKUP(A147,'337'!$A$7:$AB$188,18,FALSE),IF($C$1='Adj-Mixed'!$A$19,VLOOKUP(A147,'337'!$A$7:$AB$188,27,FALSE)))))</f>
        <v>2.9371316250003869</v>
      </c>
      <c r="F147" s="27">
        <f t="shared" si="20"/>
        <v>2.6597798002927076</v>
      </c>
      <c r="G147" s="28">
        <f t="shared" si="27"/>
        <v>235.36802805430651</v>
      </c>
      <c r="H147" s="1"/>
      <c r="I147" s="136">
        <f t="shared" si="26"/>
        <v>126.07646540463793</v>
      </c>
      <c r="J147" s="26">
        <f>IF(A147&gt;200,"",C147*'Adj-Gilts'!$C$6)</f>
        <v>998.28681687685571</v>
      </c>
      <c r="K147" s="27">
        <f>IF(A147&gt;200,"",D147*'Adj-Gilts'!$C$7)</f>
        <v>0.30227098107318667</v>
      </c>
      <c r="L147" s="1">
        <f t="shared" si="21"/>
        <v>3.3082897883534419</v>
      </c>
      <c r="M147" s="27">
        <f t="shared" si="22"/>
        <v>3.3026220821215642</v>
      </c>
      <c r="N147" s="31">
        <f t="shared" si="28"/>
        <v>292.2541357716965</v>
      </c>
    </row>
    <row r="148" spans="1:14" x14ac:dyDescent="0.25">
      <c r="A148" s="121">
        <f t="shared" si="23"/>
        <v>166</v>
      </c>
      <c r="B148" s="136">
        <f>IF(A148&gt;200,"",IF($C$1='Adj-Mixed'!$A$21,VLOOKUP(A148,'337'!$A$6:$AB$188,3,FALSE),IF($C$1='Adj-Mixed'!$A$20,VLOOKUP(A148,'337'!$A$6:$AB$188,12,FALSE),IF($C$1='Adj-Mixed'!$A$19,VLOOKUP(A148,'337'!$A$6:$AB$188,21,FALSE)))))</f>
        <v>115.740661547656</v>
      </c>
      <c r="C148" s="135">
        <f t="shared" si="24"/>
        <v>903.13455295228096</v>
      </c>
      <c r="D148" s="27">
        <f t="shared" si="25"/>
        <v>0.33875461450059197</v>
      </c>
      <c r="E148" s="27">
        <f>IF(A148&gt;200,"",IF($C$1='Adj-Mixed'!$A$21,VLOOKUP(A148,'337'!$A$7:$AB$188,9,FALSE),IF($C$1='Adj-Mixed'!$A$20,VLOOKUP(A148,'337'!$A$7:$AB$188,18,FALSE),IF($C$1='Adj-Mixed'!$A$19,VLOOKUP(A148,'337'!$A$7:$AB$188,27,FALSE)))))</f>
        <v>2.9519893078777604</v>
      </c>
      <c r="F148" s="27">
        <f t="shared" si="20"/>
        <v>2.6660435438900945</v>
      </c>
      <c r="G148" s="28">
        <f t="shared" si="27"/>
        <v>238.03407159819659</v>
      </c>
      <c r="H148" s="1"/>
      <c r="I148" s="136">
        <f t="shared" si="26"/>
        <v>127.07206685417727</v>
      </c>
      <c r="J148" s="26">
        <f>IF(A148&gt;200,"",C148*'Adj-Gilts'!$C$6)</f>
        <v>995.60144953933639</v>
      </c>
      <c r="K148" s="27">
        <f>IF(A148&gt;200,"",D148*'Adj-Gilts'!$C$7)</f>
        <v>0.30074961838808717</v>
      </c>
      <c r="L148" s="1">
        <f t="shared" si="21"/>
        <v>3.3250250003961783</v>
      </c>
      <c r="M148" s="27">
        <f t="shared" si="22"/>
        <v>3.3103997101489675</v>
      </c>
      <c r="N148" s="31">
        <f t="shared" si="28"/>
        <v>295.56453548184544</v>
      </c>
    </row>
    <row r="149" spans="1:14" x14ac:dyDescent="0.25">
      <c r="A149" s="121">
        <f t="shared" si="23"/>
        <v>167</v>
      </c>
      <c r="B149" s="136">
        <f>IF(A149&gt;200,"",IF($C$1='Adj-Mixed'!$A$21,VLOOKUP(A149,'337'!$A$6:$AB$188,3,FALSE),IF($C$1='Adj-Mixed'!$A$20,VLOOKUP(A149,'337'!$A$6:$AB$188,12,FALSE),IF($C$1='Adj-Mixed'!$A$19,VLOOKUP(A149,'337'!$A$6:$AB$188,21,FALSE)))))</f>
        <v>116.64131541041193</v>
      </c>
      <c r="C149" s="135">
        <f t="shared" si="24"/>
        <v>900.65386275593085</v>
      </c>
      <c r="D149" s="27">
        <f t="shared" si="25"/>
        <v>0.33704540197365884</v>
      </c>
      <c r="E149" s="27">
        <f>IF(A149&gt;200,"",IF($C$1='Adj-Mixed'!$A$21,VLOOKUP(A149,'337'!$A$7:$AB$188,9,FALSE),IF($C$1='Adj-Mixed'!$A$20,VLOOKUP(A149,'337'!$A$7:$AB$188,18,FALSE),IF($C$1='Adj-Mixed'!$A$19,VLOOKUP(A149,'337'!$A$7:$AB$188,27,FALSE)))))</f>
        <v>2.9669593299425969</v>
      </c>
      <c r="F149" s="27">
        <f t="shared" si="20"/>
        <v>2.6722033811525483</v>
      </c>
      <c r="G149" s="28">
        <f t="shared" si="27"/>
        <v>240.70627497934913</v>
      </c>
      <c r="H149" s="1"/>
      <c r="I149" s="136">
        <f t="shared" si="26"/>
        <v>128.06493362952295</v>
      </c>
      <c r="J149" s="26">
        <f>IF(A149&gt;200,"",C149*'Adj-Gilts'!$C$6)</f>
        <v>992.86677534569526</v>
      </c>
      <c r="K149" s="27">
        <f>IF(A149&gt;200,"",D149*'Adj-Gilts'!$C$7)</f>
        <v>0.29923216299939198</v>
      </c>
      <c r="L149" s="1">
        <f t="shared" si="21"/>
        <v>3.3418867476556384</v>
      </c>
      <c r="M149" s="27">
        <f t="shared" si="22"/>
        <v>3.3180483187153671</v>
      </c>
      <c r="N149" s="31">
        <f t="shared" si="28"/>
        <v>298.88258380056078</v>
      </c>
    </row>
    <row r="150" spans="1:14" x14ac:dyDescent="0.25">
      <c r="A150" s="121">
        <f t="shared" si="23"/>
        <v>168</v>
      </c>
      <c r="B150" s="136">
        <f>IF(A150&gt;200,"",IF($C$1='Adj-Mixed'!$A$21,VLOOKUP(A150,'337'!$A$6:$AB$188,3,FALSE),IF($C$1='Adj-Mixed'!$A$20,VLOOKUP(A150,'337'!$A$6:$AB$188,12,FALSE),IF($C$1='Adj-Mixed'!$A$19,VLOOKUP(A150,'337'!$A$6:$AB$188,21,FALSE)))))</f>
        <v>117.53944505223912</v>
      </c>
      <c r="C150" s="135">
        <f t="shared" si="24"/>
        <v>898.12964182718247</v>
      </c>
      <c r="D150" s="27">
        <f t="shared" si="25"/>
        <v>0.33534059149935447</v>
      </c>
      <c r="E150" s="27">
        <f>IF(A150&gt;200,"",IF($C$1='Adj-Mixed'!$A$21,VLOOKUP(A150,'337'!$A$7:$AB$188,9,FALSE),IF($C$1='Adj-Mixed'!$A$20,VLOOKUP(A150,'337'!$A$7:$AB$188,18,FALSE),IF($C$1='Adj-Mixed'!$A$19,VLOOKUP(A150,'337'!$A$7:$AB$188,27,FALSE)))))</f>
        <v>2.9820428106506904</v>
      </c>
      <c r="F150" s="27">
        <f t="shared" si="20"/>
        <v>2.678261041443029</v>
      </c>
      <c r="G150" s="28">
        <f t="shared" si="27"/>
        <v>243.38453602079215</v>
      </c>
      <c r="H150" s="1"/>
      <c r="I150" s="136">
        <f t="shared" si="26"/>
        <v>129.05501774307433</v>
      </c>
      <c r="J150" s="26">
        <f>IF(A150&gt;200,"",C150*'Adj-Gilts'!$C$6)</f>
        <v>990.08411355138765</v>
      </c>
      <c r="K150" s="27">
        <f>IF(A150&gt;200,"",D150*'Adj-Gilts'!$C$7)</f>
        <v>0.29771861579553488</v>
      </c>
      <c r="L150" s="1">
        <f t="shared" si="21"/>
        <v>3.358876291050517</v>
      </c>
      <c r="M150" s="27">
        <f t="shared" si="22"/>
        <v>3.3255700551535234</v>
      </c>
      <c r="N150" s="31">
        <f t="shared" si="28"/>
        <v>302.20815385571433</v>
      </c>
    </row>
    <row r="151" spans="1:14" x14ac:dyDescent="0.25">
      <c r="A151" s="121">
        <f t="shared" si="23"/>
        <v>169</v>
      </c>
      <c r="B151" s="136">
        <f>IF(A151&gt;200,"",IF($C$1='Adj-Mixed'!$A$21,VLOOKUP(A151,'337'!$A$6:$AB$188,3,FALSE),IF($C$1='Adj-Mixed'!$A$20,VLOOKUP(A151,'337'!$A$6:$AB$188,12,FALSE),IF($C$1='Adj-Mixed'!$A$19,VLOOKUP(A151,'337'!$A$6:$AB$188,21,FALSE)))))</f>
        <v>118.43500812553725</v>
      </c>
      <c r="C151" s="135">
        <f t="shared" si="24"/>
        <v>895.56307329813478</v>
      </c>
      <c r="D151" s="27">
        <f t="shared" si="25"/>
        <v>0.33364018712197863</v>
      </c>
      <c r="E151" s="27">
        <f>IF(A151&gt;200,"",IF($C$1='Adj-Mixed'!$A$21,VLOOKUP(A151,'337'!$A$7:$AB$188,9,FALSE),IF($C$1='Adj-Mixed'!$A$20,VLOOKUP(A151,'337'!$A$7:$AB$188,18,FALSE),IF($C$1='Adj-Mixed'!$A$19,VLOOKUP(A151,'337'!$A$7:$AB$188,27,FALSE)))))</f>
        <v>2.9972408558636872</v>
      </c>
      <c r="F151" s="27">
        <f t="shared" si="20"/>
        <v>2.6842182322920154</v>
      </c>
      <c r="G151" s="28">
        <f t="shared" si="27"/>
        <v>246.06875425308417</v>
      </c>
      <c r="H151" s="1"/>
      <c r="I151" s="136">
        <f t="shared" si="26"/>
        <v>130.04227251149712</v>
      </c>
      <c r="J151" s="26">
        <f>IF(A151&gt;200,"",C151*'Adj-Gilts'!$C$6)</f>
        <v>987.25476842279204</v>
      </c>
      <c r="K151" s="27">
        <f>IF(A151&gt;200,"",D151*'Adj-Gilts'!$C$7)</f>
        <v>0.29620898036708432</v>
      </c>
      <c r="L151" s="1">
        <f t="shared" si="21"/>
        <v>3.3759948761874985</v>
      </c>
      <c r="M151" s="27">
        <f t="shared" si="22"/>
        <v>3.3329670396870212</v>
      </c>
      <c r="N151" s="31">
        <f t="shared" si="28"/>
        <v>305.54112089540138</v>
      </c>
    </row>
    <row r="152" spans="1:14" x14ac:dyDescent="0.25">
      <c r="A152" s="121">
        <f t="shared" si="23"/>
        <v>170</v>
      </c>
      <c r="B152" s="136">
        <f>IF(A152&gt;200,"",IF($C$1='Adj-Mixed'!$A$21,VLOOKUP(A152,'337'!$A$6:$AB$188,3,FALSE),IF($C$1='Adj-Mixed'!$A$20,VLOOKUP(A152,'337'!$A$6:$AB$188,12,FALSE),IF($C$1='Adj-Mixed'!$A$19,VLOOKUP(A152,'337'!$A$6:$AB$188,21,FALSE)))))</f>
        <v>119.32796345209093</v>
      </c>
      <c r="C152" s="135">
        <f t="shared" si="24"/>
        <v>892.95532655367538</v>
      </c>
      <c r="D152" s="27">
        <f t="shared" si="25"/>
        <v>0.33194419576044892</v>
      </c>
      <c r="E152" s="27">
        <f>IF(A152&gt;200,"",IF($C$1='Adj-Mixed'!$A$21,VLOOKUP(A152,'337'!$A$7:$AB$188,9,FALSE),IF($C$1='Adj-Mixed'!$A$20,VLOOKUP(A152,'337'!$A$7:$AB$188,18,FALSE),IF($C$1='Adj-Mixed'!$A$19,VLOOKUP(A152,'337'!$A$7:$AB$188,27,FALSE)))))</f>
        <v>3.0125545581814022</v>
      </c>
      <c r="F152" s="27">
        <f t="shared" si="20"/>
        <v>2.6900766392616373</v>
      </c>
      <c r="G152" s="28">
        <f t="shared" si="27"/>
        <v>248.7588308923458</v>
      </c>
      <c r="H152" s="1"/>
      <c r="I152" s="136">
        <f t="shared" si="26"/>
        <v>131.0266525405687</v>
      </c>
      <c r="J152" s="26">
        <f>IF(A152&gt;200,"",C152*'Adj-Gilts'!$C$6)</f>
        <v>984.38002907157545</v>
      </c>
      <c r="K152" s="27">
        <f>IF(A152&gt;200,"",D152*'Adj-Gilts'!$C$7)</f>
        <v>0.29470326285672205</v>
      </c>
      <c r="L152" s="1">
        <f t="shared" si="21"/>
        <v>3.3932437337355745</v>
      </c>
      <c r="M152" s="27">
        <f t="shared" si="22"/>
        <v>3.3402413652615661</v>
      </c>
      <c r="N152" s="31">
        <f t="shared" si="28"/>
        <v>308.88136226066297</v>
      </c>
    </row>
    <row r="153" spans="1:14" x14ac:dyDescent="0.25">
      <c r="A153" s="121">
        <f t="shared" si="23"/>
        <v>171</v>
      </c>
      <c r="B153" s="136">
        <f>IF(A153&gt;200,"",IF($C$1='Adj-Mixed'!$A$21,VLOOKUP(A153,'337'!$A$6:$AB$188,3,FALSE),IF($C$1='Adj-Mixed'!$A$20,VLOOKUP(A153,'337'!$A$6:$AB$188,12,FALSE),IF($C$1='Adj-Mixed'!$A$19,VLOOKUP(A153,'337'!$A$6:$AB$188,21,FALSE)))))</f>
        <v>120.21827100918574</v>
      </c>
      <c r="C153" s="135">
        <f t="shared" si="24"/>
        <v>890.30755709481468</v>
      </c>
      <c r="D153" s="27">
        <f t="shared" si="25"/>
        <v>0.33025262704495706</v>
      </c>
      <c r="E153" s="27">
        <f>IF(A153&gt;200,"",IF($C$1='Adj-Mixed'!$A$21,VLOOKUP(A153,'337'!$A$7:$AB$188,9,FALSE),IF($C$1='Adj-Mixed'!$A$20,VLOOKUP(A153,'337'!$A$7:$AB$188,18,FALSE),IF($C$1='Adj-Mixed'!$A$19,VLOOKUP(A153,'337'!$A$7:$AB$188,27,FALSE)))))</f>
        <v>3.0279849972665644</v>
      </c>
      <c r="F153" s="27">
        <f t="shared" si="20"/>
        <v>2.6958379258361442</v>
      </c>
      <c r="G153" s="28">
        <f t="shared" si="27"/>
        <v>251.45466881818194</v>
      </c>
      <c r="H153" s="1"/>
      <c r="I153" s="136">
        <f t="shared" si="26"/>
        <v>132.00811370987273</v>
      </c>
      <c r="J153" s="26">
        <f>IF(A153&gt;200,"",C153*'Adj-Gilts'!$C$6)</f>
        <v>981.46116930403548</v>
      </c>
      <c r="K153" s="27">
        <f>IF(A153&gt;200,"",D153*'Adj-Gilts'!$C$7)</f>
        <v>0.2932014718142254</v>
      </c>
      <c r="L153" s="1">
        <f t="shared" si="21"/>
        <v>3.410624079791821</v>
      </c>
      <c r="M153" s="27">
        <f t="shared" si="22"/>
        <v>3.3473950974089806</v>
      </c>
      <c r="N153" s="31">
        <f t="shared" si="28"/>
        <v>312.22875735807196</v>
      </c>
    </row>
    <row r="154" spans="1:14" x14ac:dyDescent="0.25">
      <c r="A154" s="121">
        <f t="shared" si="23"/>
        <v>172</v>
      </c>
      <c r="B154" s="136">
        <f>IF(A154&gt;200,"",IF($C$1='Adj-Mixed'!$A$21,VLOOKUP(A154,'337'!$A$6:$AB$188,3,FALSE),IF($C$1='Adj-Mixed'!$A$20,VLOOKUP(A154,'337'!$A$6:$AB$188,12,FALSE),IF($C$1='Adj-Mixed'!$A$19,VLOOKUP(A154,'337'!$A$6:$AB$188,21,FALSE)))))</f>
        <v>121.10589191559974</v>
      </c>
      <c r="C154" s="135">
        <f t="shared" si="24"/>
        <v>887.62090641399993</v>
      </c>
      <c r="D154" s="27">
        <f t="shared" si="25"/>
        <v>0.32856549315867528</v>
      </c>
      <c r="E154" s="27">
        <f>IF(A154&gt;200,"",IF($C$1='Adj-Mixed'!$A$21,VLOOKUP(A154,'337'!$A$7:$AB$188,9,FALSE),IF($C$1='Adj-Mixed'!$A$20,VLOOKUP(A154,'337'!$A$7:$AB$188,18,FALSE),IF($C$1='Adj-Mixed'!$A$19,VLOOKUP(A154,'337'!$A$7:$AB$188,27,FALSE)))))</f>
        <v>3.0435332401661137</v>
      </c>
      <c r="F154" s="27">
        <f t="shared" si="20"/>
        <v>2.7015037333373839</v>
      </c>
      <c r="G154" s="28">
        <f t="shared" si="27"/>
        <v>254.15617255151932</v>
      </c>
      <c r="H154" s="1"/>
      <c r="I154" s="136">
        <f t="shared" si="26"/>
        <v>132.98661315735637</v>
      </c>
      <c r="J154" s="26">
        <f>IF(A154&gt;200,"",C154*'Adj-Gilts'!$C$6)</f>
        <v>978.4994474836476</v>
      </c>
      <c r="K154" s="27">
        <f>IF(A154&gt;200,"",D154*'Adj-Gilts'!$C$7)</f>
        <v>0.29170361805593226</v>
      </c>
      <c r="L154" s="1">
        <f t="shared" si="21"/>
        <v>3.4281371162432976</v>
      </c>
      <c r="M154" s="27">
        <f t="shared" si="22"/>
        <v>3.3544302741422518</v>
      </c>
      <c r="N154" s="31">
        <f t="shared" si="28"/>
        <v>315.58318763221422</v>
      </c>
    </row>
    <row r="155" spans="1:14" x14ac:dyDescent="0.25">
      <c r="A155" s="121">
        <f t="shared" si="23"/>
        <v>173</v>
      </c>
      <c r="B155" s="136">
        <f>IF(A155&gt;200,"",IF($C$1='Adj-Mixed'!$A$21,VLOOKUP(A155,'337'!$A$6:$AB$188,3,FALSE),IF($C$1='Adj-Mixed'!$A$20,VLOOKUP(A155,'337'!$A$6:$AB$188,12,FALSE),IF($C$1='Adj-Mixed'!$A$19,VLOOKUP(A155,'337'!$A$6:$AB$188,21,FALSE)))))</f>
        <v>121.99078841748236</v>
      </c>
      <c r="C155" s="135">
        <f t="shared" si="24"/>
        <v>884.89650188262203</v>
      </c>
      <c r="D155" s="27">
        <f t="shared" si="25"/>
        <v>0.32688280868460701</v>
      </c>
      <c r="E155" s="27">
        <f>IF(A155&gt;200,"",IF($C$1='Adj-Mixed'!$A$21,VLOOKUP(A155,'337'!$A$7:$AB$188,9,FALSE),IF($C$1='Adj-Mixed'!$A$20,VLOOKUP(A155,'337'!$A$7:$AB$188,18,FALSE),IF($C$1='Adj-Mixed'!$A$19,VLOOKUP(A155,'337'!$A$7:$AB$188,27,FALSE)))))</f>
        <v>3.0592003416271742</v>
      </c>
      <c r="F155" s="27">
        <f t="shared" si="20"/>
        <v>2.7070756808640088</v>
      </c>
      <c r="G155" s="28">
        <f t="shared" si="27"/>
        <v>256.86324823238334</v>
      </c>
      <c r="H155" s="1"/>
      <c r="I155" s="136">
        <f t="shared" si="26"/>
        <v>133.96210926376344</v>
      </c>
      <c r="J155" s="26">
        <f>IF(A155&gt;200,"",C155*'Adj-Gilts'!$C$6)</f>
        <v>975.49610640705532</v>
      </c>
      <c r="K155" s="27">
        <f>IF(A155&gt;200,"",D155*'Adj-Gilts'!$C$7)</f>
        <v>0.29020971452877392</v>
      </c>
      <c r="L155" s="1">
        <f t="shared" si="21"/>
        <v>3.4457840311229528</v>
      </c>
      <c r="M155" s="27">
        <f t="shared" si="22"/>
        <v>3.3613489058800479</v>
      </c>
      <c r="N155" s="31">
        <f t="shared" si="28"/>
        <v>318.94453653809427</v>
      </c>
    </row>
    <row r="156" spans="1:14" x14ac:dyDescent="0.25">
      <c r="A156" s="121">
        <f t="shared" si="23"/>
        <v>174</v>
      </c>
      <c r="B156" s="136">
        <f>IF(A156&gt;200,"",IF($C$1='Adj-Mixed'!$A$21,VLOOKUP(A156,'337'!$A$6:$AB$188,3,FALSE),IF($C$1='Adj-Mixed'!$A$20,VLOOKUP(A156,'337'!$A$6:$AB$188,12,FALSE),IF($C$1='Adj-Mixed'!$A$19,VLOOKUP(A156,'337'!$A$6:$AB$188,21,FALSE)))))</f>
        <v>122.87292387413268</v>
      </c>
      <c r="C156" s="135">
        <f t="shared" si="24"/>
        <v>882.13545665031745</v>
      </c>
      <c r="D156" s="27">
        <f t="shared" si="25"/>
        <v>0.3252045904574527</v>
      </c>
      <c r="E156" s="27">
        <f>IF(A156&gt;200,"",IF($C$1='Adj-Mixed'!$A$21,VLOOKUP(A156,'337'!$A$7:$AB$188,9,FALSE),IF($C$1='Adj-Mixed'!$A$20,VLOOKUP(A156,'337'!$A$7:$AB$188,18,FALSE),IF($C$1='Adj-Mixed'!$A$19,VLOOKUP(A156,'337'!$A$7:$AB$188,27,FALSE)))))</f>
        <v>3.0749873444078348</v>
      </c>
      <c r="F156" s="27">
        <f t="shared" si="20"/>
        <v>2.7125553652531527</v>
      </c>
      <c r="G156" s="28">
        <f t="shared" si="27"/>
        <v>259.57580359763648</v>
      </c>
      <c r="H156" s="1"/>
      <c r="I156" s="136">
        <f t="shared" si="26"/>
        <v>134.93456163695649</v>
      </c>
      <c r="J156" s="26">
        <f>IF(A156&gt;200,"",C156*'Adj-Gilts'!$C$6)</f>
        <v>972.4523731930617</v>
      </c>
      <c r="K156" s="27">
        <f>IF(A156&gt;200,"",D156*'Adj-Gilts'!$C$7)</f>
        <v>0.2887197761787601</v>
      </c>
      <c r="L156" s="1">
        <f t="shared" si="21"/>
        <v>3.4635659989596714</v>
      </c>
      <c r="M156" s="27">
        <f t="shared" si="22"/>
        <v>3.3681529753991297</v>
      </c>
      <c r="N156" s="31">
        <f t="shared" si="28"/>
        <v>322.31268951349341</v>
      </c>
    </row>
    <row r="157" spans="1:14" x14ac:dyDescent="0.25">
      <c r="A157" s="121">
        <f t="shared" si="23"/>
        <v>175</v>
      </c>
      <c r="B157" s="136">
        <f>IF(A157&gt;200,"",IF($C$1='Adj-Mixed'!$A$21,VLOOKUP(A157,'337'!$A$6:$AB$188,3,FALSE),IF($C$1='Adj-Mixed'!$A$20,VLOOKUP(A157,'337'!$A$6:$AB$188,12,FALSE),IF($C$1='Adj-Mixed'!$A$19,VLOOKUP(A157,'337'!$A$6:$AB$188,21,FALSE)))))</f>
        <v>123.75226274368852</v>
      </c>
      <c r="C157" s="135">
        <f t="shared" si="24"/>
        <v>879.33886955583773</v>
      </c>
      <c r="D157" s="27">
        <f t="shared" si="25"/>
        <v>0.32353085742042326</v>
      </c>
      <c r="E157" s="27">
        <f>IF(A157&gt;200,"",IF($C$1='Adj-Mixed'!$A$21,VLOOKUP(A157,'337'!$A$7:$AB$188,9,FALSE),IF($C$1='Adj-Mixed'!$A$20,VLOOKUP(A157,'337'!$A$7:$AB$188,18,FALSE),IF($C$1='Adj-Mixed'!$A$19,VLOOKUP(A157,'337'!$A$7:$AB$188,27,FALSE)))))</f>
        <v>3.0908952795822988</v>
      </c>
      <c r="F157" s="27">
        <f t="shared" si="20"/>
        <v>2.7179443610633736</v>
      </c>
      <c r="G157" s="28">
        <f t="shared" si="27"/>
        <v>262.29374795869984</v>
      </c>
      <c r="H157" s="1"/>
      <c r="I157" s="136">
        <f t="shared" si="26"/>
        <v>135.90393109614087</v>
      </c>
      <c r="J157" s="26">
        <f>IF(A157&gt;200,"",C157*'Adj-Gilts'!$C$6)</f>
        <v>969.36945918437345</v>
      </c>
      <c r="K157" s="27">
        <f>IF(A157&gt;200,"",D157*'Adj-Gilts'!$C$7)</f>
        <v>0.28723381982385626</v>
      </c>
      <c r="L157" s="1">
        <f t="shared" si="21"/>
        <v>3.4814841811219921</v>
      </c>
      <c r="M157" s="27">
        <f t="shared" si="22"/>
        <v>3.3748444378131768</v>
      </c>
      <c r="N157" s="31">
        <f t="shared" si="28"/>
        <v>325.68753395130659</v>
      </c>
    </row>
    <row r="158" spans="1:14" x14ac:dyDescent="0.25">
      <c r="A158" s="121">
        <f t="shared" si="23"/>
        <v>176</v>
      </c>
      <c r="B158" s="136">
        <f>IF(A158&gt;200,"",IF($C$1='Adj-Mixed'!$A$21,VLOOKUP(A158,'337'!$A$6:$AB$188,3,FALSE),IF($C$1='Adj-Mixed'!$A$20,VLOOKUP(A158,'337'!$A$6:$AB$188,12,FALSE),IF($C$1='Adj-Mixed'!$A$19,VLOOKUP(A158,'337'!$A$6:$AB$188,21,FALSE)))))</f>
        <v>124.62877056873744</v>
      </c>
      <c r="C158" s="135">
        <f t="shared" si="24"/>
        <v>876.50782504891822</v>
      </c>
      <c r="D158" s="27">
        <f t="shared" si="25"/>
        <v>0.3218616304868071</v>
      </c>
      <c r="E158" s="27">
        <f>IF(A158&gt;200,"",IF($C$1='Adj-Mixed'!$A$21,VLOOKUP(A158,'337'!$A$7:$AB$188,9,FALSE),IF($C$1='Adj-Mixed'!$A$20,VLOOKUP(A158,'337'!$A$7:$AB$188,18,FALSE),IF($C$1='Adj-Mixed'!$A$19,VLOOKUP(A158,'337'!$A$7:$AB$188,27,FALSE)))))</f>
        <v>3.1069251668411884</v>
      </c>
      <c r="F158" s="27">
        <f t="shared" si="20"/>
        <v>2.7232442205777176</v>
      </c>
      <c r="G158" s="28">
        <f t="shared" si="27"/>
        <v>265.01699217927757</v>
      </c>
      <c r="H158" s="1"/>
      <c r="I158" s="136">
        <f t="shared" si="26"/>
        <v>136.87017965600234</v>
      </c>
      <c r="J158" s="26">
        <f>IF(A158&gt;200,"",C158*'Adj-Gilts'!$C$6)</f>
        <v>966.24855986147008</v>
      </c>
      <c r="K158" s="27">
        <f>IF(A158&gt;200,"",D158*'Adj-Gilts'!$C$7)</f>
        <v>0.28575186403108199</v>
      </c>
      <c r="L158" s="1">
        <f t="shared" si="21"/>
        <v>3.4995397261563528</v>
      </c>
      <c r="M158" s="27">
        <f t="shared" si="22"/>
        <v>3.3814252205765789</v>
      </c>
      <c r="N158" s="31">
        <f t="shared" si="28"/>
        <v>329.06895917188319</v>
      </c>
    </row>
    <row r="159" spans="1:14" x14ac:dyDescent="0.25">
      <c r="A159" s="121">
        <f t="shared" si="23"/>
        <v>177</v>
      </c>
      <c r="B159" s="136">
        <f>IF(A159&gt;200,"",IF($C$1='Adj-Mixed'!$A$21,VLOOKUP(A159,'337'!$A$6:$AB$188,3,FALSE),IF($C$1='Adj-Mixed'!$A$20,VLOOKUP(A159,'337'!$A$6:$AB$188,12,FALSE),IF($C$1='Adj-Mixed'!$A$19,VLOOKUP(A159,'337'!$A$6:$AB$188,21,FALSE)))))</f>
        <v>125.5024139618602</v>
      </c>
      <c r="C159" s="135">
        <f t="shared" si="24"/>
        <v>873.64339312276229</v>
      </c>
      <c r="D159" s="27">
        <f t="shared" si="25"/>
        <v>0.32019693240616925</v>
      </c>
      <c r="E159" s="27">
        <f>IF(A159&gt;200,"",IF($C$1='Adj-Mixed'!$A$21,VLOOKUP(A159,'337'!$A$7:$AB$188,9,FALSE),IF($C$1='Adj-Mixed'!$A$20,VLOOKUP(A159,'337'!$A$7:$AB$188,18,FALSE),IF($C$1='Adj-Mixed'!$A$19,VLOOKUP(A159,'337'!$A$7:$AB$188,27,FALSE)))))</f>
        <v>3.123078014787168</v>
      </c>
      <c r="F159" s="27">
        <f t="shared" si="20"/>
        <v>2.7284564738257617</v>
      </c>
      <c r="G159" s="28">
        <f t="shared" si="27"/>
        <v>267.74544865310332</v>
      </c>
      <c r="H159" s="1"/>
      <c r="I159" s="136">
        <f t="shared" si="26"/>
        <v>137.83327051077052</v>
      </c>
      <c r="J159" s="26">
        <f>IF(A159&gt;200,"",C159*'Adj-Gilts'!$C$6)</f>
        <v>963.09085476817563</v>
      </c>
      <c r="K159" s="27">
        <f>IF(A159&gt;200,"",D159*'Adj-Gilts'!$C$7)</f>
        <v>0.28427392899772075</v>
      </c>
      <c r="L159" s="1">
        <f t="shared" si="21"/>
        <v>3.5177337701200795</v>
      </c>
      <c r="M159" s="27">
        <f t="shared" si="22"/>
        <v>3.3878972235118248</v>
      </c>
      <c r="N159" s="31">
        <f t="shared" si="28"/>
        <v>332.45685639539499</v>
      </c>
    </row>
    <row r="160" spans="1:14" x14ac:dyDescent="0.25">
      <c r="A160" s="121">
        <f t="shared" si="23"/>
        <v>178</v>
      </c>
      <c r="B160" s="136">
        <f>IF(A160&gt;200,"",IF($C$1='Adj-Mixed'!$A$21,VLOOKUP(A160,'337'!$A$6:$AB$188,3,FALSE),IF($C$1='Adj-Mixed'!$A$20,VLOOKUP(A160,'337'!$A$6:$AB$188,12,FALSE),IF($C$1='Adj-Mixed'!$A$19,VLOOKUP(A160,'337'!$A$6:$AB$188,21,FALSE)))))</f>
        <v>126.37316059111747</v>
      </c>
      <c r="C160" s="135">
        <f t="shared" si="24"/>
        <v>870.74662925726898</v>
      </c>
      <c r="D160" s="27">
        <f t="shared" si="25"/>
        <v>0.3185367876352474</v>
      </c>
      <c r="E160" s="27">
        <f>IF(A160&gt;200,"",IF($C$1='Adj-Mixed'!$A$21,VLOOKUP(A160,'337'!$A$7:$AB$188,9,FALSE),IF($C$1='Adj-Mixed'!$A$20,VLOOKUP(A160,'337'!$A$7:$AB$188,18,FALSE),IF($C$1='Adj-Mixed'!$A$19,VLOOKUP(A160,'337'!$A$7:$AB$188,27,FALSE)))))</f>
        <v>3.139354821224253</v>
      </c>
      <c r="F160" s="27">
        <f t="shared" si="20"/>
        <v>2.7335826286235747</v>
      </c>
      <c r="G160" s="28">
        <f t="shared" si="27"/>
        <v>270.47903128172692</v>
      </c>
      <c r="H160" s="1"/>
      <c r="I160" s="136">
        <f t="shared" si="26"/>
        <v>138.7931680182196</v>
      </c>
      <c r="J160" s="26">
        <f>IF(A160&gt;200,"",C160*'Adj-Gilts'!$C$6)</f>
        <v>959.89750744907383</v>
      </c>
      <c r="K160" s="27">
        <f>IF(A160&gt;200,"",D160*'Adj-Gilts'!$C$7)</f>
        <v>0.28280003643670043</v>
      </c>
      <c r="L160" s="1">
        <f t="shared" si="21"/>
        <v>3.5360674369072491</v>
      </c>
      <c r="M160" s="27">
        <f t="shared" si="22"/>
        <v>3.3942623188591039</v>
      </c>
      <c r="N160" s="31">
        <f t="shared" si="28"/>
        <v>335.85111871425408</v>
      </c>
    </row>
    <row r="161" spans="1:14" x14ac:dyDescent="0.25">
      <c r="A161" s="121">
        <f t="shared" si="23"/>
        <v>179</v>
      </c>
      <c r="B161" s="136">
        <f>IF(A161&gt;200,"",IF($C$1='Adj-Mixed'!$A$21,VLOOKUP(A161,'337'!$A$6:$AB$188,3,FALSE),IF($C$1='Adj-Mixed'!$A$20,VLOOKUP(A161,'337'!$A$6:$AB$188,12,FALSE),IF($C$1='Adj-Mixed'!$A$19,VLOOKUP(A161,'337'!$A$6:$AB$188,21,FALSE)))))</f>
        <v>127.24097916548978</v>
      </c>
      <c r="C161" s="135">
        <f t="shared" si="24"/>
        <v>867.81857437230769</v>
      </c>
      <c r="D161" s="27">
        <f t="shared" si="25"/>
        <v>0.31688122221330539</v>
      </c>
      <c r="E161" s="27">
        <f>IF(A161&gt;200,"",IF($C$1='Adj-Mixed'!$A$21,VLOOKUP(A161,'337'!$A$7:$AB$188,9,FALSE),IF($C$1='Adj-Mixed'!$A$20,VLOOKUP(A161,'337'!$A$7:$AB$188,18,FALSE),IF($C$1='Adj-Mixed'!$A$19,VLOOKUP(A161,'337'!$A$7:$AB$188,27,FALSE)))))</f>
        <v>3.1557565734420834</v>
      </c>
      <c r="F161" s="27">
        <f t="shared" si="20"/>
        <v>2.7386241706305476</v>
      </c>
      <c r="G161" s="28">
        <f t="shared" si="27"/>
        <v>273.21765545235746</v>
      </c>
      <c r="H161" s="1"/>
      <c r="I161" s="136">
        <f t="shared" si="26"/>
        <v>139.74983768361761</v>
      </c>
      <c r="J161" s="26">
        <f>IF(A161&gt;200,"",C161*'Adj-Gilts'!$C$6)</f>
        <v>956.66966539799887</v>
      </c>
      <c r="K161" s="27">
        <f>IF(A161&gt;200,"",D161*'Adj-Gilts'!$C$7)</f>
        <v>0.28133020946593096</v>
      </c>
      <c r="L161" s="1">
        <f t="shared" si="21"/>
        <v>3.5545418385688858</v>
      </c>
      <c r="M161" s="27">
        <f t="shared" si="22"/>
        <v>3.4005223513468841</v>
      </c>
      <c r="N161" s="31">
        <f t="shared" si="28"/>
        <v>339.25164106560095</v>
      </c>
    </row>
    <row r="162" spans="1:14" x14ac:dyDescent="0.25">
      <c r="A162" s="121">
        <f t="shared" si="23"/>
        <v>180</v>
      </c>
      <c r="B162" s="136">
        <f>IF(A162&gt;200,"",IF($C$1='Adj-Mixed'!$A$21,VLOOKUP(A162,'337'!$A$6:$AB$188,3,FALSE),IF($C$1='Adj-Mixed'!$A$20,VLOOKUP(A162,'337'!$A$6:$AB$188,12,FALSE),IF($C$1='Adj-Mixed'!$A$19,VLOOKUP(A162,'337'!$A$6:$AB$188,21,FALSE)))))</f>
        <v>128.10583942028023</v>
      </c>
      <c r="C162" s="135">
        <f t="shared" si="24"/>
        <v>864.86025479045736</v>
      </c>
      <c r="D162" s="27">
        <f t="shared" si="25"/>
        <v>0.31523026364174944</v>
      </c>
      <c r="E162" s="27">
        <f>IF(A162&gt;200,"",IF($C$1='Adj-Mixed'!$A$21,VLOOKUP(A162,'337'!$A$7:$AB$188,9,FALSE),IF($C$1='Adj-Mixed'!$A$20,VLOOKUP(A162,'337'!$A$7:$AB$188,18,FALSE),IF($C$1='Adj-Mixed'!$A$19,VLOOKUP(A162,'337'!$A$7:$AB$188,27,FALSE)))))</f>
        <v>3.1722842484961169</v>
      </c>
      <c r="F162" s="27">
        <f t="shared" si="20"/>
        <v>2.7435825634221063</v>
      </c>
      <c r="G162" s="28">
        <f t="shared" si="27"/>
        <v>275.96123801577954</v>
      </c>
      <c r="H162" s="1"/>
      <c r="I162" s="136">
        <f t="shared" si="26"/>
        <v>140.70324614363457</v>
      </c>
      <c r="J162" s="26">
        <f>IF(A162&gt;200,"",C162*'Adj-Gilts'!$C$6)</f>
        <v>953.40846001695922</v>
      </c>
      <c r="K162" s="27">
        <f>IF(A162&gt;200,"",D162*'Adj-Gilts'!$C$7)</f>
        <v>0.27986447250142649</v>
      </c>
      <c r="L162" s="1">
        <f t="shared" si="21"/>
        <v>3.5731580756285632</v>
      </c>
      <c r="M162" s="27">
        <f t="shared" si="22"/>
        <v>3.4066791382821902</v>
      </c>
      <c r="N162" s="31">
        <f t="shared" si="28"/>
        <v>342.65832020388314</v>
      </c>
    </row>
    <row r="163" spans="1:14" x14ac:dyDescent="0.25">
      <c r="A163" s="121">
        <f t="shared" si="23"/>
        <v>181</v>
      </c>
      <c r="B163" s="136">
        <f>IF(A163&gt;200,"",IF($C$1='Adj-Mixed'!$A$21,VLOOKUP(A163,'337'!$A$6:$AB$188,3,FALSE),IF($C$1='Adj-Mixed'!$A$20,VLOOKUP(A163,'337'!$A$6:$AB$188,12,FALSE),IF($C$1='Adj-Mixed'!$A$19,VLOOKUP(A163,'337'!$A$6:$AB$188,21,FALSE)))))</f>
        <v>128.96771210249008</v>
      </c>
      <c r="C163" s="135">
        <f t="shared" si="24"/>
        <v>861.87268220984947</v>
      </c>
      <c r="D163" s="27">
        <f t="shared" si="25"/>
        <v>0.31358394076826052</v>
      </c>
      <c r="E163" s="27">
        <f>IF(A163&gt;200,"",IF($C$1='Adj-Mixed'!$A$21,VLOOKUP(A163,'337'!$A$7:$AB$188,9,FALSE),IF($C$1='Adj-Mixed'!$A$20,VLOOKUP(A163,'337'!$A$7:$AB$188,18,FALSE),IF($C$1='Adj-Mixed'!$A$19,VLOOKUP(A163,'337'!$A$7:$AB$188,27,FALSE)))))</f>
        <v>3.1889388134802577</v>
      </c>
      <c r="F163" s="27">
        <f t="shared" si="20"/>
        <v>2.7484592485773245</v>
      </c>
      <c r="G163" s="28">
        <f t="shared" si="27"/>
        <v>278.70969726435686</v>
      </c>
      <c r="H163" s="1"/>
      <c r="I163" s="136">
        <f t="shared" si="26"/>
        <v>141.65336115022077</v>
      </c>
      <c r="J163" s="26">
        <f>IF(A163&gt;200,"",C163*'Adj-Gilts'!$C$6)</f>
        <v>950.11500658620082</v>
      </c>
      <c r="K163" s="27">
        <f>IF(A163&gt;200,"",D163*'Adj-Gilts'!$C$7)</f>
        <v>0.27840285115443664</v>
      </c>
      <c r="L163" s="1">
        <f t="shared" si="21"/>
        <v>3.591917237389485</v>
      </c>
      <c r="M163" s="27">
        <f t="shared" si="22"/>
        <v>3.4127344696593989</v>
      </c>
      <c r="N163" s="31">
        <f t="shared" si="28"/>
        <v>346.07105467354256</v>
      </c>
    </row>
    <row r="164" spans="1:14" x14ac:dyDescent="0.25">
      <c r="A164" s="121">
        <f t="shared" si="23"/>
        <v>182</v>
      </c>
      <c r="B164" s="136">
        <f>IF(A164&gt;200,"",IF($C$1='Adj-Mixed'!$A$21,VLOOKUP(A164,'337'!$A$6:$AB$188,3,FALSE),IF($C$1='Adj-Mixed'!$A$20,VLOOKUP(A164,'337'!$A$6:$AB$188,12,FALSE),IF($C$1='Adj-Mixed'!$A$19,VLOOKUP(A164,'337'!$A$6:$AB$188,21,FALSE)))))</f>
        <v>129.82656895617546</v>
      </c>
      <c r="C164" s="135">
        <f t="shared" si="24"/>
        <v>858.85685368538134</v>
      </c>
      <c r="D164" s="27">
        <f t="shared" si="25"/>
        <v>0.31194228367482257</v>
      </c>
      <c r="E164" s="27">
        <f>IF(A164&gt;200,"",IF($C$1='Adj-Mixed'!$A$21,VLOOKUP(A164,'337'!$A$7:$AB$188,9,FALSE),IF($C$1='Adj-Mixed'!$A$20,VLOOKUP(A164,'337'!$A$7:$AB$188,18,FALSE),IF($C$1='Adj-Mixed'!$A$19,VLOOKUP(A164,'337'!$A$7:$AB$188,27,FALSE)))))</f>
        <v>3.2057212257971033</v>
      </c>
      <c r="F164" s="27">
        <f t="shared" si="20"/>
        <v>2.7532556457805439</v>
      </c>
      <c r="G164" s="28">
        <f t="shared" si="27"/>
        <v>281.4629529101374</v>
      </c>
      <c r="H164" s="1"/>
      <c r="I164" s="136">
        <f t="shared" si="26"/>
        <v>142.60015155446428</v>
      </c>
      <c r="J164" s="26">
        <f>IF(A164&gt;200,"",C164*'Adj-Gilts'!$C$6)</f>
        <v>946.79040424349625</v>
      </c>
      <c r="K164" s="27">
        <f>IF(A164&gt;200,"",D164*'Adj-Gilts'!$C$7)</f>
        <v>0.2769453721320374</v>
      </c>
      <c r="L164" s="1">
        <f t="shared" si="21"/>
        <v>3.6108204022388812</v>
      </c>
      <c r="M164" s="27">
        <f t="shared" si="22"/>
        <v>3.4186901082864143</v>
      </c>
      <c r="N164" s="31">
        <f t="shared" si="28"/>
        <v>349.48974478182896</v>
      </c>
    </row>
    <row r="165" spans="1:14" x14ac:dyDescent="0.25">
      <c r="A165" s="121">
        <f t="shared" si="23"/>
        <v>183</v>
      </c>
      <c r="B165" s="136">
        <f>IF(A165&gt;200,"",IF($C$1='Adj-Mixed'!$A$21,VLOOKUP(A165,'337'!$A$6:$AB$188,3,FALSE),IF($C$1='Adj-Mixed'!$A$20,VLOOKUP(A165,'337'!$A$6:$AB$188,12,FALSE),IF($C$1='Adj-Mixed'!$A$19,VLOOKUP(A165,'337'!$A$6:$AB$188,21,FALSE)))))</f>
        <v>130.68238270779506</v>
      </c>
      <c r="C165" s="135">
        <f t="shared" si="24"/>
        <v>855.81375161959272</v>
      </c>
      <c r="D165" s="27">
        <f t="shared" si="25"/>
        <v>0.31030532357014023</v>
      </c>
      <c r="E165" s="27">
        <f>IF(A165&gt;200,"",IF($C$1='Adj-Mixed'!$A$21,VLOOKUP(A165,'337'!$A$7:$AB$188,9,FALSE),IF($C$1='Adj-Mixed'!$A$20,VLOOKUP(A165,'337'!$A$7:$AB$188,18,FALSE),IF($C$1='Adj-Mixed'!$A$19,VLOOKUP(A165,'337'!$A$7:$AB$188,27,FALSE)))))</f>
        <v>3.2226324334199306</v>
      </c>
      <c r="F165" s="27">
        <f t="shared" si="20"/>
        <v>2.757973152936088</v>
      </c>
      <c r="G165" s="28">
        <f t="shared" si="27"/>
        <v>284.22092606307348</v>
      </c>
      <c r="H165" s="1"/>
      <c r="I165" s="136">
        <f t="shared" si="26"/>
        <v>143.54358729043835</v>
      </c>
      <c r="J165" s="26">
        <f>IF(A165&gt;200,"",C165*'Adj-Gilts'!$C$6)</f>
        <v>943.43573597408795</v>
      </c>
      <c r="K165" s="27">
        <f>IF(A165&gt;200,"",D165*'Adj-Gilts'!$C$7)</f>
        <v>0.27549206314161812</v>
      </c>
      <c r="L165" s="1">
        <f t="shared" si="21"/>
        <v>3.6298686379431007</v>
      </c>
      <c r="M165" s="27">
        <f t="shared" si="22"/>
        <v>3.4245477899271091</v>
      </c>
      <c r="N165" s="31">
        <f t="shared" si="28"/>
        <v>352.91429257175605</v>
      </c>
    </row>
    <row r="166" spans="1:14" x14ac:dyDescent="0.25">
      <c r="A166" s="121">
        <f t="shared" si="23"/>
        <v>184</v>
      </c>
      <c r="B166" s="136">
        <f>IF(A166&gt;200,"",IF($C$1='Adj-Mixed'!$A$21,VLOOKUP(A166,'337'!$A$6:$AB$188,3,FALSE),IF($C$1='Adj-Mixed'!$A$20,VLOOKUP(A166,'337'!$A$6:$AB$188,12,FALSE),IF($C$1='Adj-Mixed'!$A$19,VLOOKUP(A166,'337'!$A$6:$AB$188,21,FALSE)))))</f>
        <v>131.53512705155637</v>
      </c>
      <c r="C166" s="135">
        <f t="shared" si="24"/>
        <v>852.7443437613158</v>
      </c>
      <c r="D166" s="27">
        <f t="shared" si="25"/>
        <v>0.30867309268577031</v>
      </c>
      <c r="E166" s="27">
        <f>IF(A166&gt;200,"",IF($C$1='Adj-Mixed'!$A$21,VLOOKUP(A166,'337'!$A$7:$AB$188,9,FALSE),IF($C$1='Adj-Mixed'!$A$20,VLOOKUP(A166,'337'!$A$7:$AB$188,18,FALSE),IF($C$1='Adj-Mixed'!$A$19,VLOOKUP(A166,'337'!$A$7:$AB$188,27,FALSE)))))</f>
        <v>3.2396733751522735</v>
      </c>
      <c r="F166" s="27">
        <f t="shared" si="20"/>
        <v>2.7626131462952328</v>
      </c>
      <c r="G166" s="28">
        <f t="shared" si="27"/>
        <v>286.9835392093687</v>
      </c>
      <c r="H166" s="1"/>
      <c r="I166" s="136">
        <f t="shared" si="26"/>
        <v>144.48363935904754</v>
      </c>
      <c r="J166" s="26">
        <f>IF(A166&gt;200,"",C166*'Adj-Gilts'!$C$6)</f>
        <v>940.0520686091993</v>
      </c>
      <c r="K166" s="27">
        <f>IF(A166&gt;200,"",D166*'Adj-Gilts'!$C$7)</f>
        <v>0.27404295279866614</v>
      </c>
      <c r="L166" s="1">
        <f t="shared" si="21"/>
        <v>3.6490630019399912</v>
      </c>
      <c r="M166" s="27">
        <f t="shared" si="22"/>
        <v>3.4303092234589836</v>
      </c>
      <c r="N166" s="31">
        <f t="shared" si="28"/>
        <v>356.34460179521506</v>
      </c>
    </row>
    <row r="167" spans="1:14" x14ac:dyDescent="0.25">
      <c r="A167" s="121">
        <f t="shared" si="23"/>
        <v>185</v>
      </c>
      <c r="B167" s="136">
        <f>IF(A167&gt;200,"",IF($C$1='Adj-Mixed'!$A$21,VLOOKUP(A167,'337'!$A$6:$AB$188,3,FALSE),IF($C$1='Adj-Mixed'!$A$20,VLOOKUP(A167,'337'!$A$6:$AB$188,12,FALSE),IF($C$1='Adj-Mixed'!$A$19,VLOOKUP(A167,'337'!$A$6:$AB$188,21,FALSE)))))</f>
        <v>132.38477663476945</v>
      </c>
      <c r="C167" s="135">
        <f t="shared" si="24"/>
        <v>849.64958321307904</v>
      </c>
      <c r="D167" s="27">
        <f t="shared" si="25"/>
        <v>0.30704562417634196</v>
      </c>
      <c r="E167" s="27">
        <f>IF(A167&gt;200,"",IF($C$1='Adj-Mixed'!$A$21,VLOOKUP(A167,'337'!$A$7:$AB$188,9,FALSE),IF($C$1='Adj-Mixed'!$A$20,VLOOKUP(A167,'337'!$A$7:$AB$188,18,FALSE),IF($C$1='Adj-Mixed'!$A$19,VLOOKUP(A167,'337'!$A$7:$AB$188,27,FALSE)))))</f>
        <v>3.2568449808803712</v>
      </c>
      <c r="F167" s="27">
        <f t="shared" si="20"/>
        <v>2.7671769805946158</v>
      </c>
      <c r="G167" s="28">
        <f t="shared" si="27"/>
        <v>289.75071618996333</v>
      </c>
      <c r="H167" s="1"/>
      <c r="I167" s="136">
        <f t="shared" si="26"/>
        <v>145.42027981188173</v>
      </c>
      <c r="J167" s="26">
        <f>IF(A167&gt;200,"",C167*'Adj-Gilts'!$C$6)</f>
        <v>936.64045283419694</v>
      </c>
      <c r="K167" s="27">
        <f>IF(A167&gt;200,"",D167*'Adj-Gilts'!$C$7)</f>
        <v>0.27259807053818153</v>
      </c>
      <c r="L167" s="1">
        <f t="shared" si="21"/>
        <v>3.6684045416232496</v>
      </c>
      <c r="M167" s="27">
        <f t="shared" si="22"/>
        <v>3.435976091045025</v>
      </c>
      <c r="N167" s="31">
        <f t="shared" si="28"/>
        <v>359.78057788626006</v>
      </c>
    </row>
    <row r="168" spans="1:14" x14ac:dyDescent="0.25">
      <c r="A168" s="121">
        <f t="shared" si="23"/>
        <v>186</v>
      </c>
      <c r="B168" s="136">
        <f>IF(A168&gt;200,"",IF($C$1='Adj-Mixed'!$A$21,VLOOKUP(A168,'337'!$A$6:$AB$188,3,FALSE),IF($C$1='Adj-Mixed'!$A$20,VLOOKUP(A168,'337'!$A$6:$AB$188,12,FALSE),IF($C$1='Adj-Mixed'!$A$19,VLOOKUP(A168,'337'!$A$6:$AB$188,21,FALSE)))))</f>
        <v>133.23130704321579</v>
      </c>
      <c r="C168" s="135">
        <f t="shared" si="24"/>
        <v>846.5304084463412</v>
      </c>
      <c r="D168" s="27">
        <f t="shared" si="25"/>
        <v>0.30542295202354414</v>
      </c>
      <c r="E168" s="27">
        <f>IF(A168&gt;200,"",IF($C$1='Adj-Mixed'!$A$21,VLOOKUP(A168,'337'!$A$7:$AB$188,9,FALSE),IF($C$1='Adj-Mixed'!$A$20,VLOOKUP(A168,'337'!$A$7:$AB$188,18,FALSE),IF($C$1='Adj-Mixed'!$A$19,VLOOKUP(A168,'337'!$A$7:$AB$188,27,FALSE)))))</f>
        <v>3.2741481718208032</v>
      </c>
      <c r="F168" s="27">
        <f t="shared" si="20"/>
        <v>2.7716659892053057</v>
      </c>
      <c r="G168" s="28">
        <f t="shared" si="27"/>
        <v>292.52238217916863</v>
      </c>
      <c r="H168" s="1"/>
      <c r="I168" s="136">
        <f t="shared" si="26"/>
        <v>146.35348173508712</v>
      </c>
      <c r="J168" s="26">
        <f>IF(A168&gt;200,"",C168*'Adj-Gilts'!$C$6)</f>
        <v>933.20192320538456</v>
      </c>
      <c r="K168" s="27">
        <f>IF(A168&gt;200,"",D168*'Adj-Gilts'!$C$7)</f>
        <v>0.27115744652943591</v>
      </c>
      <c r="L168" s="1">
        <f t="shared" si="21"/>
        <v>3.6878942946213482</v>
      </c>
      <c r="M168" s="27">
        <f t="shared" si="22"/>
        <v>3.4415500483188071</v>
      </c>
      <c r="N168" s="31">
        <f t="shared" si="28"/>
        <v>363.22212793457885</v>
      </c>
    </row>
    <row r="169" spans="1:14" x14ac:dyDescent="0.25">
      <c r="A169" s="121">
        <f t="shared" si="23"/>
        <v>187</v>
      </c>
      <c r="B169" s="136">
        <f>IF(A169&gt;200,"",IF($C$1='Adj-Mixed'!$A$21,VLOOKUP(A169,'337'!$A$6:$AB$188,3,FALSE),IF($C$1='Adj-Mixed'!$A$20,VLOOKUP(A169,'337'!$A$6:$AB$188,12,FALSE),IF($C$1='Adj-Mixed'!$A$19,VLOOKUP(A169,'337'!$A$6:$AB$188,21,FALSE)))))</f>
        <v>134.07469478653985</v>
      </c>
      <c r="C169" s="135">
        <f t="shared" si="24"/>
        <v>843.38774332405819</v>
      </c>
      <c r="D169" s="27">
        <f t="shared" si="25"/>
        <v>0.30380511094371609</v>
      </c>
      <c r="E169" s="27">
        <f>IF(A169&gt;200,"",IF($C$1='Adj-Mixed'!$A$21,VLOOKUP(A169,'337'!$A$7:$AB$188,9,FALSE),IF($C$1='Adj-Mixed'!$A$20,VLOOKUP(A169,'337'!$A$7:$AB$188,18,FALSE),IF($C$1='Adj-Mixed'!$A$19,VLOOKUP(A169,'337'!$A$7:$AB$188,27,FALSE)))))</f>
        <v>3.291583860764157</v>
      </c>
      <c r="F169" s="27">
        <f t="shared" si="20"/>
        <v>2.7760814842917734</v>
      </c>
      <c r="G169" s="28">
        <f t="shared" si="27"/>
        <v>295.29846366346038</v>
      </c>
      <c r="H169" s="1"/>
      <c r="I169" s="136">
        <f t="shared" si="26"/>
        <v>147.283219233262</v>
      </c>
      <c r="J169" s="26">
        <f>IF(A169&gt;200,"",C169*'Adj-Gilts'!$C$6)</f>
        <v>929.73749817487965</v>
      </c>
      <c r="K169" s="27">
        <f>IF(A169&gt;200,"",D169*'Adj-Gilts'!$C$7)</f>
        <v>0.26972111159393058</v>
      </c>
      <c r="L169" s="1">
        <f t="shared" si="21"/>
        <v>3.707533289071995</v>
      </c>
      <c r="M169" s="27">
        <f t="shared" si="22"/>
        <v>3.447032724581879</v>
      </c>
      <c r="N169" s="31">
        <f t="shared" si="28"/>
        <v>366.66916065916075</v>
      </c>
    </row>
    <row r="170" spans="1:14" x14ac:dyDescent="0.25">
      <c r="A170" s="121">
        <f t="shared" si="23"/>
        <v>188</v>
      </c>
      <c r="B170" s="136">
        <f>IF(A170&gt;200,"",IF($C$1='Adj-Mixed'!$A$21,VLOOKUP(A170,'337'!$A$6:$AB$188,3,FALSE),IF($C$1='Adj-Mixed'!$A$20,VLOOKUP(A170,'337'!$A$6:$AB$188,12,FALSE),IF($C$1='Adj-Mixed'!$A$19,VLOOKUP(A170,'337'!$A$6:$AB$188,21,FALSE)))))</f>
        <v>134.91491728367095</v>
      </c>
      <c r="C170" s="135">
        <f t="shared" si="24"/>
        <v>840.22249713109431</v>
      </c>
      <c r="D170" s="27">
        <f t="shared" si="25"/>
        <v>0.30219213629923869</v>
      </c>
      <c r="E170" s="27">
        <f>IF(A170&gt;200,"",IF($C$1='Adj-Mixed'!$A$21,VLOOKUP(A170,'337'!$A$7:$AB$188,9,FALSE),IF($C$1='Adj-Mixed'!$A$20,VLOOKUP(A170,'337'!$A$7:$AB$188,18,FALSE),IF($C$1='Adj-Mixed'!$A$19,VLOOKUP(A170,'337'!$A$7:$AB$188,27,FALSE)))))</f>
        <v>3.309152952311682</v>
      </c>
      <c r="F170" s="27">
        <f t="shared" si="20"/>
        <v>2.7804247569800546</v>
      </c>
      <c r="G170" s="28">
        <f t="shared" si="27"/>
        <v>298.07888842044042</v>
      </c>
      <c r="H170" s="1"/>
      <c r="I170" s="136">
        <f t="shared" si="26"/>
        <v>148.20946741338614</v>
      </c>
      <c r="J170" s="26">
        <f>IF(A170&gt;200,"",C170*'Adj-Gilts'!$C$6)</f>
        <v>926.24818012413937</v>
      </c>
      <c r="K170" s="27">
        <f>IF(A170&gt;200,"",D170*'Adj-Gilts'!$C$7)</f>
        <v>0.26828909712672872</v>
      </c>
      <c r="L170" s="1">
        <f t="shared" si="21"/>
        <v>3.7273225438886963</v>
      </c>
      <c r="M170" s="27">
        <f t="shared" si="22"/>
        <v>3.4524257230125825</v>
      </c>
      <c r="N170" s="31">
        <f t="shared" si="28"/>
        <v>370.12158638217335</v>
      </c>
    </row>
    <row r="171" spans="1:14" x14ac:dyDescent="0.25">
      <c r="A171" s="121">
        <f t="shared" si="23"/>
        <v>189</v>
      </c>
      <c r="B171" s="136">
        <f>IF(A171&gt;200,"",IF($C$1='Adj-Mixed'!$A$21,VLOOKUP(A171,'337'!$A$6:$AB$188,3,FALSE),IF($C$1='Adj-Mixed'!$A$20,VLOOKUP(A171,'337'!$A$6:$AB$188,12,FALSE),IF($C$1='Adj-Mixed'!$A$19,VLOOKUP(A171,'337'!$A$6:$AB$188,21,FALSE)))))</f>
        <v>135.75195284828197</v>
      </c>
      <c r="C171" s="135">
        <f t="shared" si="24"/>
        <v>837.03556461102835</v>
      </c>
      <c r="D171" s="27">
        <f t="shared" si="25"/>
        <v>0.3005840640132178</v>
      </c>
      <c r="E171" s="27">
        <f>IF(A171&gt;200,"",IF($C$1='Adj-Mixed'!$A$21,VLOOKUP(A171,'337'!$A$7:$AB$188,9,FALSE),IF($C$1='Adj-Mixed'!$A$20,VLOOKUP(A171,'337'!$A$7:$AB$188,18,FALSE),IF($C$1='Adj-Mixed'!$A$19,VLOOKUP(A171,'337'!$A$7:$AB$188,27,FALSE)))))</f>
        <v>3.3268563431094811</v>
      </c>
      <c r="F171" s="27">
        <f t="shared" si="20"/>
        <v>2.7846970775344255</v>
      </c>
      <c r="G171" s="28">
        <f t="shared" si="27"/>
        <v>300.86358549797484</v>
      </c>
      <c r="H171" s="1"/>
      <c r="I171" s="136">
        <f t="shared" si="26"/>
        <v>149.13220236879067</v>
      </c>
      <c r="J171" s="26">
        <f>IF(A171&gt;200,"",C171*'Adj-Gilts'!$C$6)</f>
        <v>922.73495540453393</v>
      </c>
      <c r="K171" s="27">
        <f>IF(A171&gt;200,"",D171*'Adj-Gilts'!$C$7)</f>
        <v>0.26686143502071064</v>
      </c>
      <c r="L171" s="1">
        <f t="shared" si="21"/>
        <v>3.7472630690245361</v>
      </c>
      <c r="M171" s="27">
        <f t="shared" si="22"/>
        <v>3.4577306208854126</v>
      </c>
      <c r="N171" s="31">
        <f t="shared" si="28"/>
        <v>373.57931700305875</v>
      </c>
    </row>
    <row r="172" spans="1:14" x14ac:dyDescent="0.25">
      <c r="A172" s="121">
        <f t="shared" si="23"/>
        <v>190</v>
      </c>
      <c r="B172" s="136">
        <f>IF(A172&gt;200,"",IF($C$1='Adj-Mixed'!$A$21,VLOOKUP(A172,'337'!$A$6:$AB$188,3,FALSE),IF($C$1='Adj-Mixed'!$A$20,VLOOKUP(A172,'337'!$A$6:$AB$188,12,FALSE),IF($C$1='Adj-Mixed'!$A$19,VLOOKUP(A172,'337'!$A$6:$AB$188,21,FALSE)))))</f>
        <v>136.58578067429255</v>
      </c>
      <c r="C172" s="135">
        <f t="shared" si="24"/>
        <v>833.8278260105767</v>
      </c>
      <c r="D172" s="27">
        <f t="shared" si="25"/>
        <v>0.29898093048791158</v>
      </c>
      <c r="E172" s="27">
        <f>IF(A172&gt;200,"",IF($C$1='Adj-Mixed'!$A$21,VLOOKUP(A172,'337'!$A$7:$AB$188,9,FALSE),IF($C$1='Adj-Mixed'!$A$20,VLOOKUP(A172,'337'!$A$7:$AB$188,18,FALSE),IF($C$1='Adj-Mixed'!$A$19,VLOOKUP(A172,'337'!$A$7:$AB$188,27,FALSE)))))</f>
        <v>3.3446949220744102</v>
      </c>
      <c r="F172" s="27">
        <f t="shared" si="20"/>
        <v>2.7888996955419207</v>
      </c>
      <c r="G172" s="28">
        <f t="shared" si="27"/>
        <v>303.65248519351678</v>
      </c>
      <c r="H172" s="1"/>
      <c r="I172" s="136">
        <f t="shared" si="26"/>
        <v>150.05140116317699</v>
      </c>
      <c r="J172" s="26">
        <f>IF(A172&gt;200,"",C172*'Adj-Gilts'!$C$6)</f>
        <v>919.19879438631892</v>
      </c>
      <c r="K172" s="27">
        <f>IF(A172&gt;200,"",D172*'Adj-Gilts'!$C$7)</f>
        <v>0.26543815759415285</v>
      </c>
      <c r="L172" s="1">
        <f t="shared" si="21"/>
        <v>3.7673558657266248</v>
      </c>
      <c r="M172" s="27">
        <f t="shared" si="22"/>
        <v>3.4629489698001406</v>
      </c>
      <c r="N172" s="31">
        <f t="shared" si="28"/>
        <v>377.0422659728589</v>
      </c>
    </row>
    <row r="173" spans="1:14" x14ac:dyDescent="0.25">
      <c r="A173" s="121">
        <f t="shared" si="23"/>
        <v>191</v>
      </c>
      <c r="B173" s="136">
        <f>IF(A173&gt;200,"",IF($C$1='Adj-Mixed'!$A$21,VLOOKUP(A173,'337'!$A$6:$AB$188,3,FALSE),IF($C$1='Adj-Mixed'!$A$20,VLOOKUP(A173,'337'!$A$6:$AB$188,12,FALSE),IF($C$1='Adj-Mixed'!$A$19,VLOOKUP(A173,'337'!$A$6:$AB$188,21,FALSE)))))</f>
        <v>137.41638082142228</v>
      </c>
      <c r="C173" s="135">
        <f t="shared" si="24"/>
        <v>830.60014712972929</v>
      </c>
      <c r="D173" s="27">
        <f t="shared" si="25"/>
        <v>0.29738277252622852</v>
      </c>
      <c r="E173" s="27">
        <f>IF(A173&gt;200,"",IF($C$1='Adj-Mixed'!$A$21,VLOOKUP(A173,'337'!$A$7:$AB$188,9,FALSE),IF($C$1='Adj-Mixed'!$A$20,VLOOKUP(A173,'337'!$A$7:$AB$188,18,FALSE),IF($C$1='Adj-Mixed'!$A$19,VLOOKUP(A173,'337'!$A$7:$AB$188,27,FALSE)))))</f>
        <v>3.3626695706181238</v>
      </c>
      <c r="F173" s="27">
        <f t="shared" si="20"/>
        <v>2.7930338401040773</v>
      </c>
      <c r="G173" s="28">
        <f t="shared" si="27"/>
        <v>306.44551903362088</v>
      </c>
      <c r="H173" s="1"/>
      <c r="I173" s="136">
        <f t="shared" si="26"/>
        <v>150.9670418146909</v>
      </c>
      <c r="J173" s="26">
        <f>IF(A173&gt;200,"",C173*'Adj-Gilts'!$C$6)</f>
        <v>915.64065151390355</v>
      </c>
      <c r="K173" s="27">
        <f>IF(A173&gt;200,"",D173*'Adj-Gilts'!$C$7)</f>
        <v>0.26401929752103276</v>
      </c>
      <c r="L173" s="1">
        <f t="shared" si="21"/>
        <v>3.7876019267884624</v>
      </c>
      <c r="M173" s="27">
        <f t="shared" si="22"/>
        <v>3.468082295919904</v>
      </c>
      <c r="N173" s="31">
        <f t="shared" si="28"/>
        <v>380.51034826877878</v>
      </c>
    </row>
    <row r="174" spans="1:14" x14ac:dyDescent="0.25">
      <c r="A174" s="121">
        <f t="shared" si="23"/>
        <v>192</v>
      </c>
      <c r="B174" s="136">
        <f>IF(A174&gt;200,"",IF($C$1='Adj-Mixed'!$A$21,VLOOKUP(A174,'337'!$A$6:$AB$188,3,FALSE),IF($C$1='Adj-Mixed'!$A$20,VLOOKUP(A174,'337'!$A$6:$AB$188,12,FALSE),IF($C$1='Adj-Mixed'!$A$19,VLOOKUP(A174,'337'!$A$6:$AB$188,21,FALSE)))))</f>
        <v>138.24373420080073</v>
      </c>
      <c r="C174" s="135">
        <f t="shared" si="24"/>
        <v>827.35337937845088</v>
      </c>
      <c r="D174" s="27">
        <f t="shared" si="25"/>
        <v>0.29578962725661451</v>
      </c>
      <c r="E174" s="27">
        <f>IF(A174&gt;200,"",IF($C$1='Adj-Mixed'!$A$21,VLOOKUP(A174,'337'!$A$7:$AB$188,9,FALSE),IF($C$1='Adj-Mixed'!$A$20,VLOOKUP(A174,'337'!$A$7:$AB$188,18,FALSE),IF($C$1='Adj-Mixed'!$A$19,VLOOKUP(A174,'337'!$A$7:$AB$188,27,FALSE)))))</f>
        <v>3.3807811628649254</v>
      </c>
      <c r="F174" s="27">
        <f t="shared" si="20"/>
        <v>2.7971007200353051</v>
      </c>
      <c r="G174" s="28">
        <f t="shared" si="27"/>
        <v>309.24261975365619</v>
      </c>
      <c r="H174" s="1"/>
      <c r="I174" s="136">
        <f t="shared" si="26"/>
        <v>151.87910328005927</v>
      </c>
      <c r="J174" s="26">
        <f>IF(A174&gt;200,"",C174*'Adj-Gilts'!$C$6)</f>
        <v>912.06146536835786</v>
      </c>
      <c r="K174" s="27">
        <f>IF(A174&gt;200,"",D174*'Adj-Gilts'!$C$7)</f>
        <v>0.26260488776434338</v>
      </c>
      <c r="L174" s="1">
        <f t="shared" si="21"/>
        <v>3.8080022367953066</v>
      </c>
      <c r="M174" s="27">
        <f t="shared" si="22"/>
        <v>3.4731321002175117</v>
      </c>
      <c r="N174" s="31">
        <f t="shared" si="28"/>
        <v>383.98348036899631</v>
      </c>
    </row>
    <row r="175" spans="1:14" x14ac:dyDescent="0.25">
      <c r="A175" s="121">
        <f t="shared" si="23"/>
        <v>193</v>
      </c>
      <c r="B175" s="136">
        <f>IF(A175&gt;200,"",IF($C$1='Adj-Mixed'!$A$21,VLOOKUP(A175,'337'!$A$6:$AB$188,3,FALSE),IF($C$1='Adj-Mixed'!$A$20,VLOOKUP(A175,'337'!$A$6:$AB$188,12,FALSE),IF($C$1='Adj-Mixed'!$A$19,VLOOKUP(A175,'337'!$A$6:$AB$188,21,FALSE)))))</f>
        <v>139.06782256064022</v>
      </c>
      <c r="C175" s="135">
        <f t="shared" si="24"/>
        <v>824.08835983949302</v>
      </c>
      <c r="D175" s="27">
        <f t="shared" si="25"/>
        <v>0.29420153206117339</v>
      </c>
      <c r="E175" s="27">
        <f>IF(A175&gt;200,"",IF($C$1='Adj-Mixed'!$A$21,VLOOKUP(A175,'337'!$A$7:$AB$188,9,FALSE),IF($C$1='Adj-Mixed'!$A$20,VLOOKUP(A175,'337'!$A$7:$AB$188,18,FALSE),IF($C$1='Adj-Mixed'!$A$19,VLOOKUP(A175,'337'!$A$7:$AB$188,27,FALSE)))))</f>
        <v>3.3990305658641837</v>
      </c>
      <c r="F175" s="27">
        <f t="shared" si="20"/>
        <v>2.8011015240673189</v>
      </c>
      <c r="G175" s="28">
        <f t="shared" si="27"/>
        <v>312.04372127772348</v>
      </c>
      <c r="H175" s="1"/>
      <c r="I175" s="136">
        <f t="shared" si="26"/>
        <v>152.78756543879592</v>
      </c>
      <c r="J175" s="26">
        <f>IF(A175&gt;200,"",C175*'Adj-Gilts'!$C$6)</f>
        <v>908.46215873665551</v>
      </c>
      <c r="K175" s="27">
        <f>IF(A175&gt;200,"",D175*'Adj-Gilts'!$C$7)</f>
        <v>0.26119496151227739</v>
      </c>
      <c r="L175" s="1">
        <f t="shared" si="21"/>
        <v>3.828557772363443</v>
      </c>
      <c r="M175" s="27">
        <f t="shared" si="22"/>
        <v>3.4780998587292946</v>
      </c>
      <c r="N175" s="31">
        <f t="shared" si="28"/>
        <v>387.46158022772562</v>
      </c>
    </row>
    <row r="176" spans="1:14" x14ac:dyDescent="0.25">
      <c r="A176" s="121">
        <f t="shared" si="23"/>
        <v>194</v>
      </c>
      <c r="B176" s="136">
        <f>IF(A176&gt;200,"",IF($C$1='Adj-Mixed'!$A$21,VLOOKUP(A176,'337'!$A$6:$AB$188,3,FALSE),IF($C$1='Adj-Mixed'!$A$20,VLOOKUP(A176,'337'!$A$6:$AB$188,12,FALSE),IF($C$1='Adj-Mixed'!$A$19,VLOOKUP(A176,'337'!$A$6:$AB$188,21,FALSE)))))</f>
        <v>139.88862847197689</v>
      </c>
      <c r="C176" s="135">
        <f t="shared" si="24"/>
        <v>820.80591133666303</v>
      </c>
      <c r="D176" s="27">
        <f t="shared" si="25"/>
        <v>0.29261852450679926</v>
      </c>
      <c r="E176" s="27">
        <f>IF(A176&gt;200,"",IF($C$1='Adj-Mixed'!$A$21,VLOOKUP(A176,'337'!$A$7:$AB$188,9,FALSE),IF($C$1='Adj-Mixed'!$A$20,VLOOKUP(A176,'337'!$A$7:$AB$188,18,FALSE),IF($C$1='Adj-Mixed'!$A$19,VLOOKUP(A176,'337'!$A$7:$AB$188,27,FALSE)))))</f>
        <v>3.4174186397989441</v>
      </c>
      <c r="F176" s="27">
        <f t="shared" si="20"/>
        <v>2.8050374210590716</v>
      </c>
      <c r="G176" s="28">
        <f t="shared" si="27"/>
        <v>314.84875869878255</v>
      </c>
      <c r="H176" s="1"/>
      <c r="I176" s="136">
        <f t="shared" si="26"/>
        <v>153.69240907748286</v>
      </c>
      <c r="J176" s="26">
        <f>IF(A176&gt;200,"",C176*'Adj-Gilts'!$C$6)</f>
        <v>904.8436386869322</v>
      </c>
      <c r="K176" s="27">
        <f>IF(A176&gt;200,"",D176*'Adj-Gilts'!$C$7)</f>
        <v>0.25978955211708626</v>
      </c>
      <c r="L176" s="1">
        <f t="shared" si="21"/>
        <v>3.8492695023751509</v>
      </c>
      <c r="M176" s="27">
        <f t="shared" si="22"/>
        <v>3.4829870228157684</v>
      </c>
      <c r="N176" s="31">
        <f t="shared" si="28"/>
        <v>390.94456725054141</v>
      </c>
    </row>
    <row r="177" spans="1:14" x14ac:dyDescent="0.25">
      <c r="A177" s="121">
        <f t="shared" si="23"/>
        <v>195</v>
      </c>
      <c r="B177" s="136">
        <f>IF(A177&gt;200,"",IF($C$1='Adj-Mixed'!$A$21,VLOOKUP(A177,'337'!$A$6:$AB$188,3,FALSE),IF($C$1='Adj-Mixed'!$A$20,VLOOKUP(A177,'337'!$A$6:$AB$188,12,FALSE),IF($C$1='Adj-Mixed'!$A$19,VLOOKUP(A177,'337'!$A$6:$AB$188,21,FALSE)))))</f>
        <v>140.70613531448549</v>
      </c>
      <c r="C177" s="135">
        <f t="shared" si="24"/>
        <v>817.50684250860672</v>
      </c>
      <c r="D177" s="27">
        <f t="shared" si="25"/>
        <v>0.29104064227934578</v>
      </c>
      <c r="E177" s="27">
        <f>IF(A177&gt;200,"",IF($C$1='Adj-Mixed'!$A$21,VLOOKUP(A177,'337'!$A$7:$AB$188,9,FALSE),IF($C$1='Adj-Mixed'!$A$20,VLOOKUP(A177,'337'!$A$7:$AB$188,18,FALSE),IF($C$1='Adj-Mixed'!$A$19,VLOOKUP(A177,'337'!$A$7:$AB$188,27,FALSE)))))</f>
        <v>3.4359462381895889</v>
      </c>
      <c r="F177" s="27">
        <f t="shared" si="20"/>
        <v>2.808909560211696</v>
      </c>
      <c r="G177" s="28">
        <f t="shared" si="27"/>
        <v>317.65766825899425</v>
      </c>
      <c r="H177" s="1"/>
      <c r="I177" s="136">
        <f t="shared" si="26"/>
        <v>154.59361587413269</v>
      </c>
      <c r="J177" s="26">
        <f>IF(A177&gt;200,"",C177*'Adj-Gilts'!$C$6)</f>
        <v>901.20679664982276</v>
      </c>
      <c r="K177" s="27">
        <f>IF(A177&gt;200,"",D177*'Adj-Gilts'!$C$7)</f>
        <v>0.25838869303663481</v>
      </c>
      <c r="L177" s="1">
        <f t="shared" si="21"/>
        <v>3.8701383882081024</v>
      </c>
      <c r="M177" s="27">
        <f t="shared" si="22"/>
        <v>3.4877950194285323</v>
      </c>
      <c r="N177" s="31">
        <f t="shared" si="28"/>
        <v>394.43236226996993</v>
      </c>
    </row>
    <row r="178" spans="1:14" x14ac:dyDescent="0.25">
      <c r="A178" s="121">
        <f t="shared" si="23"/>
        <v>196</v>
      </c>
      <c r="B178" s="136">
        <f>IF(A178&gt;200,"",IF($C$1='Adj-Mixed'!$A$21,VLOOKUP(A178,'337'!$A$6:$AB$188,3,FALSE),IF($C$1='Adj-Mixed'!$A$20,VLOOKUP(A178,'337'!$A$6:$AB$188,12,FALSE),IF($C$1='Adj-Mixed'!$A$19,VLOOKUP(A178,'337'!$A$6:$AB$188,21,FALSE)))))</f>
        <v>141.5203272623732</v>
      </c>
      <c r="C178" s="135">
        <f t="shared" si="24"/>
        <v>814.1919478877071</v>
      </c>
      <c r="D178" s="27">
        <f t="shared" si="25"/>
        <v>0.28946792312070108</v>
      </c>
      <c r="E178" s="27">
        <f>IF(A178&gt;200,"",IF($C$1='Adj-Mixed'!$A$21,VLOOKUP(A178,'337'!$A$7:$AB$188,9,FALSE),IF($C$1='Adj-Mixed'!$A$20,VLOOKUP(A178,'337'!$A$7:$AB$188,18,FALSE),IF($C$1='Adj-Mixed'!$A$19,VLOOKUP(A178,'337'!$A$7:$AB$188,27,FALSE)))))</f>
        <v>3.4546142080931861</v>
      </c>
      <c r="F178" s="27">
        <f t="shared" si="20"/>
        <v>2.81271907128794</v>
      </c>
      <c r="G178" s="28">
        <f t="shared" si="27"/>
        <v>320.47038733028216</v>
      </c>
      <c r="H178" s="1"/>
      <c r="I178" s="136">
        <f t="shared" si="26"/>
        <v>155.49116838263814</v>
      </c>
      <c r="J178" s="26">
        <f>IF(A178&gt;200,"",C178*'Adj-Gilts'!$C$6)</f>
        <v>897.55250850543791</v>
      </c>
      <c r="K178" s="27">
        <f>IF(A178&gt;200,"",D178*'Adj-Gilts'!$C$7)</f>
        <v>0.25699241777853588</v>
      </c>
      <c r="L178" s="1">
        <f t="shared" si="21"/>
        <v>3.8911653839599016</v>
      </c>
      <c r="M178" s="27">
        <f t="shared" si="22"/>
        <v>3.4925252513827352</v>
      </c>
      <c r="N178" s="31">
        <f t="shared" si="28"/>
        <v>397.92488752135267</v>
      </c>
    </row>
    <row r="179" spans="1:14" x14ac:dyDescent="0.25">
      <c r="A179" s="121">
        <f t="shared" si="23"/>
        <v>197</v>
      </c>
      <c r="B179" s="136">
        <f>IF(A179&gt;200,"",IF($C$1='Adj-Mixed'!$A$21,VLOOKUP(A179,'337'!$A$6:$AB$188,3,FALSE),IF($C$1='Adj-Mixed'!$A$20,VLOOKUP(A179,'337'!$A$6:$AB$188,12,FALSE),IF($C$1='Adj-Mixed'!$A$19,VLOOKUP(A179,'337'!$A$6:$AB$188,21,FALSE)))))</f>
        <v>142.33118927035753</v>
      </c>
      <c r="C179" s="135">
        <f t="shared" si="24"/>
        <v>810.86200798432628</v>
      </c>
      <c r="D179" s="27">
        <f t="shared" si="25"/>
        <v>0.28790040476885453</v>
      </c>
      <c r="E179" s="27">
        <f>IF(A179&gt;200,"",IF($C$1='Adj-Mixed'!$A$21,VLOOKUP(A179,'337'!$A$7:$AB$188,9,FALSE),IF($C$1='Adj-Mixed'!$A$20,VLOOKUP(A179,'337'!$A$7:$AB$188,18,FALSE),IF($C$1='Adj-Mixed'!$A$19,VLOOKUP(A179,'337'!$A$7:$AB$188,27,FALSE)))))</f>
        <v>3.4734233902966065</v>
      </c>
      <c r="F179" s="27">
        <f t="shared" si="20"/>
        <v>2.8164670648356327</v>
      </c>
      <c r="G179" s="28">
        <f t="shared" si="27"/>
        <v>323.28685439511781</v>
      </c>
      <c r="H179" s="1"/>
      <c r="I179" s="136">
        <f t="shared" si="26"/>
        <v>156.38505001731437</v>
      </c>
      <c r="J179" s="26">
        <f>IF(A179&gt;200,"",C179*'Adj-Gilts'!$C$6)</f>
        <v>893.88163467623122</v>
      </c>
      <c r="K179" s="27">
        <f>IF(A179&gt;200,"",D179*'Adj-Gilts'!$C$7)</f>
        <v>0.25560075984694081</v>
      </c>
      <c r="L179" s="1">
        <f t="shared" si="21"/>
        <v>3.9123514366656083</v>
      </c>
      <c r="M179" s="27">
        <f t="shared" si="22"/>
        <v>3.4971790976345556</v>
      </c>
      <c r="N179" s="31">
        <f t="shared" si="28"/>
        <v>401.42206661898723</v>
      </c>
    </row>
    <row r="180" spans="1:14" x14ac:dyDescent="0.25">
      <c r="A180" s="121">
        <f t="shared" si="23"/>
        <v>198</v>
      </c>
      <c r="B180" s="136">
        <f>IF(A180&gt;200,"",IF($C$1='Adj-Mixed'!$A$21,VLOOKUP(A180,'337'!$A$6:$AB$188,3,FALSE),IF($C$1='Adj-Mixed'!$A$20,VLOOKUP(A180,'337'!$A$6:$AB$188,12,FALSE),IF($C$1='Adj-Mixed'!$A$19,VLOOKUP(A180,'337'!$A$6:$AB$188,21,FALSE)))))</f>
        <v>143.1387070597327</v>
      </c>
      <c r="C180" s="135">
        <f t="shared" si="24"/>
        <v>807.5177893751686</v>
      </c>
      <c r="D180" s="27">
        <f t="shared" si="25"/>
        <v>0.28633812490052479</v>
      </c>
      <c r="E180" s="27">
        <f>IF(A180&gt;200,"",IF($C$1='Adj-Mixed'!$A$21,VLOOKUP(A180,'337'!$A$7:$AB$188,9,FALSE),IF($C$1='Adj-Mixed'!$A$20,VLOOKUP(A180,'337'!$A$7:$AB$188,18,FALSE),IF($C$1='Adj-Mixed'!$A$19,VLOOKUP(A180,'337'!$A$7:$AB$188,27,FALSE)))))</f>
        <v>3.4923746195076353</v>
      </c>
      <c r="F180" s="27">
        <f t="shared" si="20"/>
        <v>2.8201546324147513</v>
      </c>
      <c r="G180" s="28">
        <f t="shared" si="27"/>
        <v>326.10700902753257</v>
      </c>
      <c r="H180" s="1"/>
      <c r="I180" s="136">
        <f t="shared" si="26"/>
        <v>157.27524503753878</v>
      </c>
      <c r="J180" s="26">
        <f>IF(A180&gt;200,"",C180*'Adj-Gilts'!$C$6)</f>
        <v>890.19502022440906</v>
      </c>
      <c r="K180" s="27">
        <f>IF(A180&gt;200,"",D180*'Adj-Gilts'!$C$7)</f>
        <v>0.2542137526916044</v>
      </c>
      <c r="L180" s="1">
        <f t="shared" si="21"/>
        <v>3.9336974865129934</v>
      </c>
      <c r="M180" s="27">
        <f t="shared" si="22"/>
        <v>3.5017579135631416</v>
      </c>
      <c r="N180" s="31">
        <f t="shared" si="28"/>
        <v>404.92382453255038</v>
      </c>
    </row>
    <row r="181" spans="1:14" x14ac:dyDescent="0.25">
      <c r="A181" s="121">
        <f t="shared" si="23"/>
        <v>199</v>
      </c>
      <c r="B181" s="136">
        <f>IF(A181&gt;200,"",IF($C$1='Adj-Mixed'!$A$21,VLOOKUP(A181,'337'!$A$6:$AB$188,3,FALSE),IF($C$1='Adj-Mixed'!$A$20,VLOOKUP(A181,'337'!$A$6:$AB$188,12,FALSE),IF($C$1='Adj-Mixed'!$A$19,VLOOKUP(A181,'337'!$A$6:$AB$188,21,FALSE)))))</f>
        <v>143.94286710452923</v>
      </c>
      <c r="C181" s="135">
        <f t="shared" si="24"/>
        <v>804.16004479653225</v>
      </c>
      <c r="D181" s="27">
        <f t="shared" si="25"/>
        <v>0.28478112107663034</v>
      </c>
      <c r="E181" s="27">
        <f>IF(A181&gt;200,"",IF($C$1='Adj-Mixed'!$A$21,VLOOKUP(A181,'337'!$A$7:$AB$188,9,FALSE),IF($C$1='Adj-Mixed'!$A$20,VLOOKUP(A181,'337'!$A$7:$AB$188,18,FALSE),IF($C$1='Adj-Mixed'!$A$19,VLOOKUP(A181,'337'!$A$7:$AB$188,27,FALSE)))))</f>
        <v>3.5114687245399074</v>
      </c>
      <c r="F181" s="27">
        <f t="shared" si="20"/>
        <v>2.8237828468276338</v>
      </c>
      <c r="G181" s="28">
        <f t="shared" si="27"/>
        <v>328.93079187436018</v>
      </c>
      <c r="I181" s="136">
        <f t="shared" si="26"/>
        <v>158.1617385324935</v>
      </c>
      <c r="J181" s="26">
        <f>IF(A181&gt;200,"",C181*'Adj-Gilts'!$C$6)</f>
        <v>886.49349495472995</v>
      </c>
      <c r="K181" s="27">
        <f>IF(A181&gt;200,"",D181*'Adj-Gilts'!$C$7)</f>
        <v>0.2528314296594727</v>
      </c>
      <c r="L181" s="1">
        <f t="shared" si="21"/>
        <v>3.9552044670508533</v>
      </c>
      <c r="M181" s="27">
        <f t="shared" si="22"/>
        <v>3.5062630312564709</v>
      </c>
      <c r="N181" s="31">
        <f t="shared" si="28"/>
        <v>408.43008756380686</v>
      </c>
    </row>
    <row r="182" spans="1:14" x14ac:dyDescent="0.25">
      <c r="A182" s="121">
        <f t="shared" si="23"/>
        <v>200</v>
      </c>
      <c r="B182" s="136">
        <f>IF(A182&gt;200,"",IF($C$1='Adj-Mixed'!$A$21,VLOOKUP(A182,'337'!$A$6:$AB$188,3,FALSE),IF($C$1='Adj-Mixed'!$A$20,VLOOKUP(A182,'337'!$A$6:$AB$188,12,FALSE),IF($C$1='Adj-Mixed'!$A$19,VLOOKUP(A182,'337'!$A$6:$AB$188,21,FALSE)))))</f>
        <v>144.74365661777091</v>
      </c>
      <c r="C182" s="135">
        <f t="shared" si="24"/>
        <v>800.78951324168202</v>
      </c>
      <c r="D182" s="27">
        <f t="shared" si="25"/>
        <v>0.28322943069033019</v>
      </c>
      <c r="E182" s="27">
        <f>IF(A182&gt;200,"",IF($C$1='Adj-Mixed'!$A$21,VLOOKUP(A182,'337'!$A$7:$AB$188,9,FALSE),IF($C$1='Adj-Mixed'!$A$20,VLOOKUP(A182,'337'!$A$7:$AB$188,18,FALSE),IF($C$1='Adj-Mixed'!$A$19,VLOOKUP(A182,'337'!$A$7:$AB$188,27,FALSE)))))</f>
        <v>3.5307065284940435</v>
      </c>
      <c r="F182" s="27">
        <f t="shared" si="20"/>
        <v>2.8273527623519739</v>
      </c>
      <c r="G182" s="28">
        <f t="shared" si="27"/>
        <v>331.75814463671213</v>
      </c>
      <c r="I182" s="136">
        <f t="shared" si="26"/>
        <v>159.04451640601536</v>
      </c>
      <c r="J182" s="26">
        <f>IF(A182&gt;200,"",C182*'Adj-Gilts'!$C$6)</f>
        <v>882.77787352184669</v>
      </c>
      <c r="K182" s="27">
        <f>IF(A182&gt;200,"",D182*'Adj-Gilts'!$C$7)</f>
        <v>0.25145382394855353</v>
      </c>
      <c r="L182" s="1">
        <f t="shared" si="21"/>
        <v>3.9768733053930254</v>
      </c>
      <c r="M182" s="27">
        <f t="shared" si="22"/>
        <v>3.5106957598006527</v>
      </c>
      <c r="N182" s="31">
        <f t="shared" si="28"/>
        <v>411.94078332360749</v>
      </c>
    </row>
    <row r="183" spans="1:14" x14ac:dyDescent="0.25">
      <c r="A183" s="121">
        <f t="shared" si="23"/>
        <v>201</v>
      </c>
      <c r="B183" s="136" t="str">
        <f>IF(A183&gt;200,"",IF($C$1='Adj-Mixed'!$A$21,VLOOKUP(A183,'337'!$A$6:$AB$188,3,FALSE),IF($C$1='Adj-Mixed'!$A$20,VLOOKUP(A183,'337'!$A$6:$AB$188,12,FALSE),IF($C$1='Adj-Mixed'!$A$19,VLOOKUP(A183,'337'!$A$6:$AB$188,21,FALSE)))))</f>
        <v/>
      </c>
      <c r="C183" s="135" t="str">
        <f t="shared" si="24"/>
        <v/>
      </c>
      <c r="D183" s="27" t="str">
        <f t="shared" si="25"/>
        <v/>
      </c>
      <c r="E183" s="27" t="str">
        <f>IF(A183&gt;200,"",IF($C$1='Adj-Mixed'!$A$21,VLOOKUP(A183,'337'!$A$7:$AB$188,9,FALSE),IF($C$1='Adj-Mixed'!$A$20,VLOOKUP(A183,'337'!$A$7:$AB$188,18,FALSE),IF($C$1='Adj-Mixed'!$A$19,VLOOKUP(A183,'337'!$A$7:$AB$188,27,FALSE)))))</f>
        <v/>
      </c>
      <c r="F183" s="27" t="str">
        <f t="shared" si="20"/>
        <v/>
      </c>
      <c r="G183" s="28" t="str">
        <f t="shared" si="27"/>
        <v/>
      </c>
      <c r="I183" s="136" t="str">
        <f t="shared" si="26"/>
        <v/>
      </c>
      <c r="J183" s="26" t="str">
        <f>IF(A183&gt;200,"",C183*'Adj-Gilts'!$C$6)</f>
        <v/>
      </c>
      <c r="K183" s="27" t="str">
        <f>IF(A183&gt;200,"",D183*'Adj-Gilts'!$C$7)</f>
        <v/>
      </c>
      <c r="L183" s="1" t="str">
        <f t="shared" si="21"/>
        <v/>
      </c>
      <c r="M183" s="27" t="str">
        <f t="shared" si="22"/>
        <v/>
      </c>
      <c r="N183" s="31" t="str">
        <f t="shared" si="28"/>
        <v/>
      </c>
    </row>
    <row r="184" spans="1:14" x14ac:dyDescent="0.25">
      <c r="A184" s="121">
        <f t="shared" si="23"/>
        <v>202</v>
      </c>
      <c r="B184" s="136" t="str">
        <f>IF(A184&gt;200,"",IF($C$1='Adj-Mixed'!$A$21,VLOOKUP(A184,'337'!$A$6:$AB$188,3,FALSE),IF($C$1='Adj-Mixed'!$A$20,VLOOKUP(A184,'337'!$A$6:$AB$188,12,FALSE),IF($C$1='Adj-Mixed'!$A$19,VLOOKUP(A184,'337'!$A$6:$AB$188,21,FALSE)))))</f>
        <v/>
      </c>
      <c r="C184" s="135" t="str">
        <f t="shared" si="24"/>
        <v/>
      </c>
      <c r="D184" s="27" t="str">
        <f t="shared" si="25"/>
        <v/>
      </c>
      <c r="E184" s="27" t="str">
        <f>IF(A184&gt;200,"",IF($C$1='Adj-Mixed'!$A$21,VLOOKUP(A184,'337'!$A$7:$AB$188,9,FALSE),IF($C$1='Adj-Mixed'!$A$20,VLOOKUP(A184,'337'!$A$7:$AB$188,18,FALSE),IF($C$1='Adj-Mixed'!$A$19,VLOOKUP(A184,'337'!$A$7:$AB$188,27,FALSE)))))</f>
        <v/>
      </c>
      <c r="F184" s="27" t="str">
        <f t="shared" si="20"/>
        <v/>
      </c>
      <c r="G184" s="28" t="str">
        <f t="shared" si="27"/>
        <v/>
      </c>
      <c r="I184" s="136" t="str">
        <f t="shared" si="26"/>
        <v/>
      </c>
      <c r="J184" s="26" t="str">
        <f>IF(A184&gt;200,"",C184*'Adj-Gilts'!$C$6)</f>
        <v/>
      </c>
      <c r="K184" s="27" t="str">
        <f>IF(A184&gt;200,"",D184*'Adj-Gilts'!$C$7)</f>
        <v/>
      </c>
      <c r="L184" s="1" t="str">
        <f t="shared" si="21"/>
        <v/>
      </c>
      <c r="M184" s="27" t="str">
        <f t="shared" si="22"/>
        <v/>
      </c>
      <c r="N184" s="31" t="str">
        <f t="shared" si="28"/>
        <v/>
      </c>
    </row>
    <row r="185" spans="1:14" x14ac:dyDescent="0.25">
      <c r="A185" s="121">
        <f t="shared" si="23"/>
        <v>203</v>
      </c>
      <c r="B185" s="136" t="str">
        <f>IF(A185&gt;200,"",IF($C$1='Adj-Mixed'!$A$21,VLOOKUP(A185,'337'!$A$6:$AB$188,3,FALSE),IF($C$1='Adj-Mixed'!$A$20,VLOOKUP(A185,'337'!$A$6:$AB$188,12,FALSE),IF($C$1='Adj-Mixed'!$A$19,VLOOKUP(A185,'337'!$A$6:$AB$188,21,FALSE)))))</f>
        <v/>
      </c>
      <c r="C185" s="135" t="str">
        <f t="shared" si="24"/>
        <v/>
      </c>
      <c r="D185" s="27" t="str">
        <f t="shared" si="25"/>
        <v/>
      </c>
      <c r="E185" s="27" t="str">
        <f>IF(A185&gt;200,"",IF($C$1='Adj-Mixed'!$A$21,VLOOKUP(A185,'337'!$A$7:$AB$188,9,FALSE),IF($C$1='Adj-Mixed'!$A$20,VLOOKUP(A185,'337'!$A$7:$AB$188,18,FALSE),IF($C$1='Adj-Mixed'!$A$19,VLOOKUP(A185,'337'!$A$7:$AB$188,27,FALSE)))))</f>
        <v/>
      </c>
      <c r="F185" s="27" t="str">
        <f t="shared" si="20"/>
        <v/>
      </c>
      <c r="G185" s="28" t="str">
        <f t="shared" si="27"/>
        <v/>
      </c>
      <c r="I185" s="136" t="str">
        <f t="shared" si="26"/>
        <v/>
      </c>
      <c r="J185" s="26" t="str">
        <f>IF(A185&gt;200,"",C185*'Adj-Gilts'!$C$6)</f>
        <v/>
      </c>
      <c r="K185" s="27" t="str">
        <f>IF(A185&gt;200,"",D185*'Adj-Gilts'!$C$7)</f>
        <v/>
      </c>
      <c r="L185" s="1" t="str">
        <f t="shared" si="21"/>
        <v/>
      </c>
      <c r="M185" s="27" t="str">
        <f t="shared" si="22"/>
        <v/>
      </c>
      <c r="N185" s="31" t="str">
        <f t="shared" si="28"/>
        <v/>
      </c>
    </row>
    <row r="186" spans="1:14" x14ac:dyDescent="0.25">
      <c r="B186" s="137"/>
      <c r="N186" s="2"/>
    </row>
    <row r="187" spans="1:14" x14ac:dyDescent="0.25">
      <c r="B187" s="137"/>
      <c r="N187" s="2"/>
    </row>
    <row r="188" spans="1:14" x14ac:dyDescent="0.25">
      <c r="B188" s="137"/>
      <c r="N188" s="2"/>
    </row>
    <row r="189" spans="1:14" x14ac:dyDescent="0.25">
      <c r="N189" s="2"/>
    </row>
    <row r="190" spans="1:14" x14ac:dyDescent="0.25">
      <c r="N190" s="2"/>
    </row>
    <row r="191" spans="1:14" x14ac:dyDescent="0.25">
      <c r="N191" s="2"/>
    </row>
    <row r="192" spans="1:14" x14ac:dyDescent="0.25">
      <c r="N192" s="2"/>
    </row>
    <row r="193" spans="14:14" x14ac:dyDescent="0.25">
      <c r="N193" s="2"/>
    </row>
    <row r="194" spans="14:14" x14ac:dyDescent="0.25">
      <c r="N194" s="2"/>
    </row>
    <row r="195" spans="14:14" x14ac:dyDescent="0.25">
      <c r="N195" s="2"/>
    </row>
    <row r="196" spans="14:14" x14ac:dyDescent="0.25">
      <c r="N196" s="2"/>
    </row>
    <row r="197" spans="14:14" x14ac:dyDescent="0.25">
      <c r="N197" s="2"/>
    </row>
    <row r="198" spans="14:14" x14ac:dyDescent="0.25">
      <c r="N198" s="2"/>
    </row>
    <row r="199" spans="14:14" x14ac:dyDescent="0.25">
      <c r="N199" s="2"/>
    </row>
    <row r="200" spans="14:14" x14ac:dyDescent="0.25">
      <c r="N200" s="2"/>
    </row>
    <row r="201" spans="14:14" x14ac:dyDescent="0.25">
      <c r="N201" s="2"/>
    </row>
    <row r="202" spans="14:14" x14ac:dyDescent="0.25">
      <c r="N202" s="2"/>
    </row>
    <row r="203" spans="14:14" x14ac:dyDescent="0.25">
      <c r="N203" s="2"/>
    </row>
    <row r="204" spans="14:14" x14ac:dyDescent="0.25">
      <c r="N204" s="2"/>
    </row>
    <row r="205" spans="14:14" x14ac:dyDescent="0.25">
      <c r="N205" s="2"/>
    </row>
    <row r="206" spans="14:14" x14ac:dyDescent="0.25">
      <c r="N206" s="2"/>
    </row>
    <row r="207" spans="14:14" x14ac:dyDescent="0.25">
      <c r="N207" s="2"/>
    </row>
    <row r="208" spans="14:14" x14ac:dyDescent="0.25">
      <c r="N208" s="2"/>
    </row>
  </sheetData>
  <mergeCells count="2">
    <mergeCell ref="C1:G1"/>
    <mergeCell ref="J1:N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71229-8B0E-417C-BF98-4F7C6FBB8607}">
  <sheetPr codeName="Sheet3"/>
  <dimension ref="A1:AF188"/>
  <sheetViews>
    <sheetView zoomScale="140" zoomScaleNormal="140" workbookViewId="0">
      <pane xSplit="1" ySplit="5" topLeftCell="L6" activePane="bottomRight" state="frozen"/>
      <selection activeCell="C23" sqref="C23"/>
      <selection pane="topRight" activeCell="C23" sqref="C23"/>
      <selection pane="bottomLeft" activeCell="C23" sqref="C23"/>
      <selection pane="bottomRight" activeCell="Y48" sqref="Y48"/>
    </sheetView>
  </sheetViews>
  <sheetFormatPr defaultColWidth="9.140625" defaultRowHeight="15" x14ac:dyDescent="0.25"/>
  <cols>
    <col min="1" max="1" width="15" style="35" customWidth="1"/>
    <col min="2" max="3" width="10.140625" style="35" customWidth="1"/>
    <col min="4" max="4" width="10.140625" style="92" customWidth="1"/>
    <col min="5" max="6" width="10.140625" style="35" customWidth="1"/>
    <col min="7" max="7" width="10.140625" style="92" customWidth="1"/>
    <col min="8" max="9" width="10.140625" style="35" customWidth="1"/>
    <col min="10" max="10" width="10.140625" style="92" customWidth="1"/>
    <col min="11" max="12" width="10.140625" style="90" customWidth="1"/>
    <col min="13" max="13" width="10.140625" style="92" customWidth="1"/>
    <col min="14" max="15" width="10.140625" style="90" customWidth="1"/>
    <col min="16" max="16" width="10.140625" style="92" customWidth="1"/>
    <col min="17" max="18" width="10.140625" style="90" customWidth="1"/>
    <col min="19" max="19" width="10.140625" style="92" customWidth="1"/>
    <col min="20" max="21" width="10.140625" style="90" customWidth="1"/>
    <col min="22" max="22" width="10.140625" style="92" customWidth="1"/>
    <col min="23" max="24" width="10.140625" style="35" customWidth="1"/>
    <col min="25" max="25" width="10.140625" style="92" customWidth="1"/>
    <col min="26" max="27" width="10.140625" style="35" customWidth="1"/>
    <col min="28" max="28" width="10.140625" style="92" customWidth="1"/>
    <col min="29" max="16384" width="9.140625" style="35"/>
  </cols>
  <sheetData>
    <row r="1" spans="1:32" s="92" customFormat="1" x14ac:dyDescent="0.25">
      <c r="A1" s="92">
        <v>1</v>
      </c>
      <c r="B1" s="92">
        <v>2</v>
      </c>
      <c r="C1" s="92">
        <v>3</v>
      </c>
      <c r="D1" s="92">
        <v>4</v>
      </c>
      <c r="E1" s="92">
        <v>5</v>
      </c>
      <c r="F1" s="92">
        <v>6</v>
      </c>
      <c r="G1" s="92">
        <v>7</v>
      </c>
      <c r="H1" s="92">
        <v>8</v>
      </c>
      <c r="I1" s="92">
        <v>9</v>
      </c>
      <c r="J1" s="92">
        <v>10</v>
      </c>
      <c r="K1" s="92">
        <v>11</v>
      </c>
      <c r="L1" s="92">
        <v>12</v>
      </c>
      <c r="M1" s="92">
        <v>13</v>
      </c>
      <c r="N1" s="92">
        <v>14</v>
      </c>
      <c r="O1" s="92">
        <v>15</v>
      </c>
      <c r="P1" s="92">
        <v>16</v>
      </c>
      <c r="Q1" s="92">
        <v>17</v>
      </c>
      <c r="R1" s="92">
        <v>18</v>
      </c>
      <c r="S1" s="92">
        <v>19</v>
      </c>
      <c r="T1" s="92">
        <v>20</v>
      </c>
      <c r="U1" s="92">
        <v>21</v>
      </c>
      <c r="V1" s="92">
        <v>22</v>
      </c>
      <c r="W1" s="92">
        <v>23</v>
      </c>
      <c r="X1" s="92">
        <v>24</v>
      </c>
      <c r="Y1" s="92">
        <v>25</v>
      </c>
      <c r="Z1" s="92">
        <v>26</v>
      </c>
      <c r="AA1" s="92">
        <v>27</v>
      </c>
      <c r="AB1" s="92">
        <v>28</v>
      </c>
    </row>
    <row r="2" spans="1:32" ht="26.25" x14ac:dyDescent="0.4">
      <c r="A2" s="36" t="s">
        <v>28</v>
      </c>
      <c r="B2" s="210">
        <v>337</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91"/>
    </row>
    <row r="3" spans="1:32" ht="18.75" x14ac:dyDescent="0.3">
      <c r="A3" s="36" t="s">
        <v>29</v>
      </c>
      <c r="B3" s="216" t="str">
        <f>'Adj-Mixed'!A21</f>
        <v>High energy diet</v>
      </c>
      <c r="C3" s="216"/>
      <c r="D3" s="216"/>
      <c r="E3" s="216"/>
      <c r="F3" s="216"/>
      <c r="G3" s="216"/>
      <c r="H3" s="216"/>
      <c r="I3" s="216"/>
      <c r="J3" s="217"/>
      <c r="K3" s="221" t="str">
        <f>'Adj-Mixed'!A20</f>
        <v>Moderate energy diet</v>
      </c>
      <c r="L3" s="222"/>
      <c r="M3" s="222"/>
      <c r="N3" s="222"/>
      <c r="O3" s="222"/>
      <c r="P3" s="222"/>
      <c r="Q3" s="222"/>
      <c r="R3" s="222"/>
      <c r="S3" s="223"/>
      <c r="T3" s="215" t="str">
        <f>'Adj-Mixed'!A19</f>
        <v>Low energy diet</v>
      </c>
      <c r="U3" s="215"/>
      <c r="V3" s="215"/>
      <c r="W3" s="215"/>
      <c r="X3" s="215"/>
      <c r="Y3" s="215"/>
      <c r="Z3" s="215"/>
      <c r="AA3" s="215"/>
      <c r="AB3" s="215"/>
    </row>
    <row r="4" spans="1:32" s="38" customFormat="1" ht="15.75" customHeight="1" x14ac:dyDescent="0.25">
      <c r="A4" s="37"/>
      <c r="B4" s="211" t="s">
        <v>14</v>
      </c>
      <c r="C4" s="212"/>
      <c r="D4" s="213"/>
      <c r="E4" s="211" t="s">
        <v>30</v>
      </c>
      <c r="F4" s="212"/>
      <c r="G4" s="213"/>
      <c r="H4" s="211" t="s">
        <v>25</v>
      </c>
      <c r="I4" s="212"/>
      <c r="J4" s="213"/>
      <c r="K4" s="218" t="s">
        <v>14</v>
      </c>
      <c r="L4" s="219"/>
      <c r="M4" s="220"/>
      <c r="N4" s="218" t="s">
        <v>30</v>
      </c>
      <c r="O4" s="219"/>
      <c r="P4" s="220"/>
      <c r="Q4" s="218" t="s">
        <v>25</v>
      </c>
      <c r="R4" s="219"/>
      <c r="S4" s="220"/>
      <c r="T4" s="214" t="s">
        <v>14</v>
      </c>
      <c r="U4" s="214"/>
      <c r="V4" s="214"/>
      <c r="W4" s="214" t="s">
        <v>30</v>
      </c>
      <c r="X4" s="214"/>
      <c r="Y4" s="214"/>
      <c r="Z4" s="214" t="s">
        <v>25</v>
      </c>
      <c r="AA4" s="214"/>
      <c r="AB4" s="214"/>
      <c r="AD4" s="209" t="s">
        <v>89</v>
      </c>
      <c r="AE4" s="209"/>
      <c r="AF4" s="209"/>
    </row>
    <row r="5" spans="1:32" ht="15.75" x14ac:dyDescent="0.25">
      <c r="A5" s="37" t="s">
        <v>31</v>
      </c>
      <c r="B5" s="39" t="s">
        <v>32</v>
      </c>
      <c r="C5" s="39" t="s">
        <v>33</v>
      </c>
      <c r="D5" s="39" t="s">
        <v>52</v>
      </c>
      <c r="E5" s="39" t="s">
        <v>32</v>
      </c>
      <c r="F5" s="39" t="s">
        <v>33</v>
      </c>
      <c r="G5" s="39" t="s">
        <v>52</v>
      </c>
      <c r="H5" s="39" t="s">
        <v>32</v>
      </c>
      <c r="I5" s="39" t="s">
        <v>33</v>
      </c>
      <c r="J5" s="39" t="s">
        <v>52</v>
      </c>
      <c r="K5" s="63" t="s">
        <v>32</v>
      </c>
      <c r="L5" s="63" t="s">
        <v>33</v>
      </c>
      <c r="M5" s="63" t="s">
        <v>52</v>
      </c>
      <c r="N5" s="63" t="s">
        <v>32</v>
      </c>
      <c r="O5" s="63" t="s">
        <v>33</v>
      </c>
      <c r="P5" s="63" t="s">
        <v>52</v>
      </c>
      <c r="Q5" s="63" t="s">
        <v>32</v>
      </c>
      <c r="R5" s="63" t="s">
        <v>33</v>
      </c>
      <c r="S5" s="63" t="s">
        <v>52</v>
      </c>
      <c r="T5" s="124" t="s">
        <v>32</v>
      </c>
      <c r="U5" s="124" t="s">
        <v>33</v>
      </c>
      <c r="V5" s="124" t="s">
        <v>52</v>
      </c>
      <c r="W5" s="124" t="s">
        <v>32</v>
      </c>
      <c r="X5" s="124" t="s">
        <v>33</v>
      </c>
      <c r="Y5" s="124" t="s">
        <v>52</v>
      </c>
      <c r="Z5" s="124" t="s">
        <v>32</v>
      </c>
      <c r="AA5" s="124" t="s">
        <v>33</v>
      </c>
      <c r="AB5" s="124" t="s">
        <v>52</v>
      </c>
      <c r="AD5" s="139" t="s">
        <v>76</v>
      </c>
      <c r="AE5" s="35" t="s">
        <v>90</v>
      </c>
      <c r="AF5" s="35" t="s">
        <v>77</v>
      </c>
    </row>
    <row r="6" spans="1:32" s="90" customFormat="1" ht="15.75" x14ac:dyDescent="0.25">
      <c r="A6" s="144">
        <v>18</v>
      </c>
      <c r="B6" s="116">
        <f>'337-Adj'!C7</f>
        <v>5.814186230225828</v>
      </c>
      <c r="C6" s="116">
        <f>'337-Adj'!D7</f>
        <v>5.8704002258820394</v>
      </c>
      <c r="D6" s="116">
        <f>AVERAGE(B6:C6)</f>
        <v>5.8422932280539337</v>
      </c>
      <c r="E6" s="93"/>
      <c r="F6" s="93"/>
      <c r="G6" s="116"/>
      <c r="H6" s="93"/>
      <c r="I6" s="93"/>
      <c r="J6" s="116"/>
      <c r="K6" s="66">
        <f t="shared" ref="K6:K47" si="0">(B6+T6)/2</f>
        <v>5.6900712100316735</v>
      </c>
      <c r="L6" s="66">
        <f t="shared" ref="L6:L47" si="1">(C6+U6)/2</f>
        <v>5.8022220180222597</v>
      </c>
      <c r="M6" s="66">
        <f>AVERAGE(K6:L6)</f>
        <v>5.7461466140269666</v>
      </c>
      <c r="N6" s="94"/>
      <c r="O6" s="94"/>
      <c r="P6" s="94"/>
      <c r="Q6" s="94"/>
      <c r="R6" s="94"/>
      <c r="S6" s="94"/>
      <c r="T6" s="119">
        <f>'337-Adj'!L7</f>
        <v>5.5659561898375198</v>
      </c>
      <c r="U6" s="119">
        <f>'337-Adj'!M7</f>
        <v>5.7340438101624809</v>
      </c>
      <c r="V6" s="119">
        <f>AVERAGE(T6:U6)</f>
        <v>5.65</v>
      </c>
      <c r="W6" s="95"/>
      <c r="X6" s="95"/>
      <c r="Y6" s="95"/>
      <c r="Z6" s="95"/>
      <c r="AA6" s="95"/>
      <c r="AB6" s="95"/>
      <c r="AD6" s="143">
        <f>C6/B6</f>
        <v>1.009668420210549</v>
      </c>
      <c r="AE6" s="143">
        <f>L6/K6</f>
        <v>1.0197099129080955</v>
      </c>
      <c r="AF6" s="143">
        <f>U6/T6</f>
        <v>1.03019923524225</v>
      </c>
    </row>
    <row r="7" spans="1:32" s="90" customFormat="1" ht="15.75" x14ac:dyDescent="0.25">
      <c r="A7" s="144">
        <v>19</v>
      </c>
      <c r="B7" s="116">
        <f>'337-Adj'!C8</f>
        <v>5.8203605872844753</v>
      </c>
      <c r="C7" s="116">
        <f>'337-Adj'!D8</f>
        <v>5.8766342792192594</v>
      </c>
      <c r="D7" s="116">
        <f t="shared" ref="D7:D70" si="2">AVERAGE(B7:C7)</f>
        <v>5.8484974332518673</v>
      </c>
      <c r="E7" s="117">
        <f>(B7-B6)*H7</f>
        <v>5.9745611193832808E-3</v>
      </c>
      <c r="F7" s="117">
        <f>(C7-C6)*I7</f>
        <v>6.0323256868589498E-3</v>
      </c>
      <c r="G7" s="117">
        <f t="shared" ref="G7:G70" si="3">AVERAGE(E7:F7)</f>
        <v>6.0034434031211153E-3</v>
      </c>
      <c r="H7" s="117">
        <f>J7</f>
        <v>0.96764101308586914</v>
      </c>
      <c r="I7" s="117">
        <f>J7</f>
        <v>0.96764101308586914</v>
      </c>
      <c r="J7" s="117">
        <f>'337-Adj'!H7</f>
        <v>0.96764101308586914</v>
      </c>
      <c r="K7" s="66">
        <f t="shared" si="0"/>
        <v>5.6961137635290529</v>
      </c>
      <c r="L7" s="66">
        <f t="shared" si="1"/>
        <v>5.8083836697228151</v>
      </c>
      <c r="M7" s="66">
        <f t="shared" ref="M7:M70" si="4">AVERAGE(K7:L7)</f>
        <v>5.7522487166259335</v>
      </c>
      <c r="N7" s="69">
        <f>(E7+W7)/2</f>
        <v>5.9399782139118746E-3</v>
      </c>
      <c r="O7" s="69">
        <f>(F7+X7)/2</f>
        <v>6.0580297087089868E-3</v>
      </c>
      <c r="P7" s="123">
        <f t="shared" ref="P7:P70" si="5">AVERAGE(N7:O7)</f>
        <v>5.9990039613104307E-3</v>
      </c>
      <c r="Q7" s="69">
        <f t="shared" ref="Q7:Q48" si="6">(H7+Z7)/2</f>
        <v>0.98336754983456109</v>
      </c>
      <c r="R7" s="69">
        <f t="shared" ref="R7:R48" si="7">(I7+AA7)/2</f>
        <v>0.98336754983456109</v>
      </c>
      <c r="S7" s="123">
        <f t="shared" ref="S7:S70" si="8">AVERAGE(Q7:R7)</f>
        <v>0.98336754983456109</v>
      </c>
      <c r="T7" s="119">
        <f>'337-Adj'!L8</f>
        <v>5.5718669397736305</v>
      </c>
      <c r="U7" s="119">
        <f>'337-Adj'!M8</f>
        <v>5.7401330602263707</v>
      </c>
      <c r="V7" s="119">
        <f t="shared" ref="V7:V70" si="9">AVERAGE(T7:U7)</f>
        <v>5.6560000000000006</v>
      </c>
      <c r="W7" s="118">
        <f>(T7-T6)*Z7</f>
        <v>5.9053953084404684E-3</v>
      </c>
      <c r="X7" s="118">
        <f>(U7-U6)*AA7</f>
        <v>6.0837337305590239E-3</v>
      </c>
      <c r="Y7" s="118">
        <f t="shared" ref="Y7" si="10">AVERAGE(W7:X7)</f>
        <v>5.9945645194997461E-3</v>
      </c>
      <c r="Z7" s="118">
        <f>AB7</f>
        <v>0.99909408658325316</v>
      </c>
      <c r="AA7" s="118">
        <f>AB7</f>
        <v>0.99909408658325316</v>
      </c>
      <c r="AB7" s="118">
        <v>0.99909408658325316</v>
      </c>
      <c r="AD7" s="143">
        <f t="shared" ref="AD7:AD70" si="11">C7/B7</f>
        <v>1.009668420210549</v>
      </c>
      <c r="AE7" s="143">
        <f t="shared" ref="AE7:AE70" si="12">L7/K7</f>
        <v>1.0197099129080955</v>
      </c>
      <c r="AF7" s="143">
        <f t="shared" ref="AF7:AF70" si="13">U7/T7</f>
        <v>1.0301992352422502</v>
      </c>
    </row>
    <row r="8" spans="1:32" s="90" customFormat="1" ht="15.75" x14ac:dyDescent="0.25">
      <c r="A8" s="144">
        <v>20</v>
      </c>
      <c r="B8" s="116">
        <f>'337-Adj'!C9</f>
        <v>5.8523683167238998</v>
      </c>
      <c r="C8" s="116">
        <f>'337-Adj'!D9</f>
        <v>5.9089514728368897</v>
      </c>
      <c r="D8" s="116">
        <f t="shared" si="2"/>
        <v>5.8806598947803952</v>
      </c>
      <c r="E8" s="117">
        <f t="shared" ref="E8:E71" si="14">(B8-B7)*H8</f>
        <v>3.1281711658758378E-2</v>
      </c>
      <c r="F8" s="117">
        <f t="shared" ref="F8:F72" si="15">(C8-C7)*I8</f>
        <v>3.1584156391980339E-2</v>
      </c>
      <c r="G8" s="116">
        <f t="shared" si="3"/>
        <v>3.1432934025369355E-2</v>
      </c>
      <c r="H8" s="117">
        <f t="shared" ref="H8:H71" si="16">J8</f>
        <v>0.97731742321678383</v>
      </c>
      <c r="I8" s="117">
        <f t="shared" ref="I8:I71" si="17">J8</f>
        <v>0.97731742321678383</v>
      </c>
      <c r="J8" s="117">
        <f>'337-Adj'!H8</f>
        <v>0.97731742321678383</v>
      </c>
      <c r="K8" s="66">
        <f t="shared" si="0"/>
        <v>5.7274382262431889</v>
      </c>
      <c r="L8" s="66">
        <f t="shared" si="1"/>
        <v>5.8403255348689402</v>
      </c>
      <c r="M8" s="66">
        <f t="shared" si="4"/>
        <v>5.7838818805560646</v>
      </c>
      <c r="N8" s="69">
        <f t="shared" ref="N8:N48" si="18">(E8+W8)/2</f>
        <v>3.1100641877119539E-2</v>
      </c>
      <c r="O8" s="69">
        <f t="shared" ref="O8:O48" si="19">(F8+X8)/2</f>
        <v>3.1718737959380905E-2</v>
      </c>
      <c r="P8" s="123">
        <f t="shared" si="5"/>
        <v>3.1409689918250223E-2</v>
      </c>
      <c r="Q8" s="69">
        <f t="shared" si="6"/>
        <v>0.99320122533294775</v>
      </c>
      <c r="R8" s="69">
        <f t="shared" si="7"/>
        <v>0.99320122533294775</v>
      </c>
      <c r="S8" s="123">
        <f t="shared" si="8"/>
        <v>0.99320122533294775</v>
      </c>
      <c r="T8" s="119">
        <f>'337-Adj'!L9</f>
        <v>5.6025081357624789</v>
      </c>
      <c r="U8" s="119">
        <f>'337-Adj'!M9</f>
        <v>5.7716995969009899</v>
      </c>
      <c r="V8" s="119">
        <f t="shared" si="9"/>
        <v>5.6871038663317339</v>
      </c>
      <c r="W8" s="118">
        <f t="shared" ref="W8:W71" si="20">(T8-T7)*Z8</f>
        <v>3.0919572095480699E-2</v>
      </c>
      <c r="X8" s="118">
        <f t="shared" ref="X8:X71" si="21">(U8-U7)*AA8</f>
        <v>3.1853319526781478E-2</v>
      </c>
      <c r="Y8" s="118">
        <f t="shared" ref="Y8:Y70" si="22">AVERAGE(W8:X8)</f>
        <v>3.1386445811131092E-2</v>
      </c>
      <c r="Z8" s="118">
        <f t="shared" ref="Z8:Z71" si="23">AB8</f>
        <v>1.0090850274491117</v>
      </c>
      <c r="AA8" s="118">
        <f t="shared" ref="AA8:AA71" si="24">AB8</f>
        <v>1.0090850274491117</v>
      </c>
      <c r="AB8" s="118">
        <v>1.0090850274491117</v>
      </c>
      <c r="AD8" s="143">
        <f t="shared" si="11"/>
        <v>1.009668420210549</v>
      </c>
      <c r="AE8" s="143">
        <f t="shared" si="12"/>
        <v>1.0197099129080958</v>
      </c>
      <c r="AF8" s="143">
        <f t="shared" si="13"/>
        <v>1.03019923524225</v>
      </c>
    </row>
    <row r="9" spans="1:32" s="90" customFormat="1" ht="15.75" x14ac:dyDescent="0.25">
      <c r="A9" s="144">
        <v>21</v>
      </c>
      <c r="B9" s="116">
        <f>'337-Adj'!C10</f>
        <v>5.9087078991238675</v>
      </c>
      <c r="C9" s="116">
        <f>'337-Adj'!D10</f>
        <v>5.965835769993987</v>
      </c>
      <c r="D9" s="116">
        <f t="shared" si="2"/>
        <v>5.9372718345589277</v>
      </c>
      <c r="E9" s="117">
        <f t="shared" si="14"/>
        <v>5.5606820402148274E-2</v>
      </c>
      <c r="F9" s="117">
        <f t="shared" si="15"/>
        <v>5.6144450508368623E-2</v>
      </c>
      <c r="G9" s="116">
        <f t="shared" si="3"/>
        <v>5.5875635455258449E-2</v>
      </c>
      <c r="H9" s="117">
        <f t="shared" si="16"/>
        <v>0.98699383334762048</v>
      </c>
      <c r="I9" s="117">
        <f t="shared" si="17"/>
        <v>0.98699383334762048</v>
      </c>
      <c r="J9" s="117">
        <f>'337-Adj'!H9</f>
        <v>0.98699383334762048</v>
      </c>
      <c r="K9" s="66">
        <f t="shared" si="0"/>
        <v>5.7825751315821865</v>
      </c>
      <c r="L9" s="66">
        <f t="shared" si="1"/>
        <v>5.8965491838101904</v>
      </c>
      <c r="M9" s="66">
        <f t="shared" si="4"/>
        <v>5.8395621576961885</v>
      </c>
      <c r="N9" s="69">
        <f t="shared" si="18"/>
        <v>5.5284948154949144E-2</v>
      </c>
      <c r="O9" s="69">
        <f t="shared" si="19"/>
        <v>5.638368463754722E-2</v>
      </c>
      <c r="P9" s="123">
        <f t="shared" si="5"/>
        <v>5.5834316396248182E-2</v>
      </c>
      <c r="Q9" s="69">
        <f t="shared" si="6"/>
        <v>1.0030349008312895</v>
      </c>
      <c r="R9" s="69">
        <f t="shared" si="7"/>
        <v>1.0030349008312895</v>
      </c>
      <c r="S9" s="123">
        <f t="shared" si="8"/>
        <v>1.0030349008312895</v>
      </c>
      <c r="T9" s="119">
        <f>'337-Adj'!L10</f>
        <v>5.6564423640405055</v>
      </c>
      <c r="U9" s="119">
        <f>'337-Adj'!M10</f>
        <v>5.8272625976263939</v>
      </c>
      <c r="V9" s="119">
        <f t="shared" si="9"/>
        <v>5.7418524808334492</v>
      </c>
      <c r="W9" s="118">
        <f t="shared" si="20"/>
        <v>5.4963075907750014E-2</v>
      </c>
      <c r="X9" s="118">
        <f t="shared" si="21"/>
        <v>5.6622918766725816E-2</v>
      </c>
      <c r="Y9" s="118">
        <f t="shared" si="22"/>
        <v>5.5792997337237915E-2</v>
      </c>
      <c r="Z9" s="118">
        <f t="shared" si="23"/>
        <v>1.0190759683149586</v>
      </c>
      <c r="AA9" s="118">
        <f t="shared" si="24"/>
        <v>1.0190759683149586</v>
      </c>
      <c r="AB9" s="118">
        <v>1.0190759683149586</v>
      </c>
      <c r="AD9" s="143">
        <f t="shared" si="11"/>
        <v>1.009668420210549</v>
      </c>
      <c r="AE9" s="143">
        <f t="shared" si="12"/>
        <v>1.0197099129080955</v>
      </c>
      <c r="AF9" s="143">
        <f t="shared" si="13"/>
        <v>1.03019923524225</v>
      </c>
    </row>
    <row r="10" spans="1:32" s="90" customFormat="1" ht="15.75" x14ac:dyDescent="0.25">
      <c r="A10" s="144">
        <v>22</v>
      </c>
      <c r="B10" s="116">
        <f>'337-Adj'!C11</f>
        <v>5.9891330030800756</v>
      </c>
      <c r="C10" s="116">
        <f>'337-Adj'!D11</f>
        <v>6.0470384576507206</v>
      </c>
      <c r="D10" s="116">
        <f t="shared" si="2"/>
        <v>6.0180857303653976</v>
      </c>
      <c r="E10" s="117">
        <f t="shared" si="14"/>
        <v>8.0157307941816774E-2</v>
      </c>
      <c r="F10" s="117">
        <f t="shared" si="15"/>
        <v>8.0932302477944418E-2</v>
      </c>
      <c r="G10" s="116">
        <f t="shared" si="3"/>
        <v>8.0544805209880596E-2</v>
      </c>
      <c r="H10" s="117">
        <f t="shared" si="16"/>
        <v>0.9966702434784902</v>
      </c>
      <c r="I10" s="117">
        <f t="shared" si="17"/>
        <v>0.9966702434784902</v>
      </c>
      <c r="J10" s="117">
        <f>'337-Adj'!H10</f>
        <v>0.9966702434784902</v>
      </c>
      <c r="K10" s="66">
        <f t="shared" si="0"/>
        <v>5.8612834065607213</v>
      </c>
      <c r="L10" s="66">
        <f t="shared" si="1"/>
        <v>5.9768087920336983</v>
      </c>
      <c r="M10" s="66">
        <f t="shared" si="4"/>
        <v>5.9190460992972103</v>
      </c>
      <c r="N10" s="69">
        <f t="shared" si="18"/>
        <v>7.9693328655641632E-2</v>
      </c>
      <c r="O10" s="69">
        <f t="shared" si="19"/>
        <v>8.1277158803554683E-2</v>
      </c>
      <c r="P10" s="123">
        <f t="shared" si="5"/>
        <v>8.0485243729598158E-2</v>
      </c>
      <c r="Q10" s="69">
        <f t="shared" si="6"/>
        <v>1.012868576329641</v>
      </c>
      <c r="R10" s="69">
        <f t="shared" si="7"/>
        <v>1.012868576329641</v>
      </c>
      <c r="S10" s="123">
        <f t="shared" si="8"/>
        <v>1.012868576329641</v>
      </c>
      <c r="T10" s="119">
        <f>'337-Adj'!L11</f>
        <v>5.7334338100413671</v>
      </c>
      <c r="U10" s="119">
        <f>'337-Adj'!M11</f>
        <v>5.906579126416676</v>
      </c>
      <c r="V10" s="119">
        <f t="shared" si="9"/>
        <v>5.8200064682290211</v>
      </c>
      <c r="W10" s="118">
        <f t="shared" si="20"/>
        <v>7.922934936946649E-2</v>
      </c>
      <c r="X10" s="118">
        <f t="shared" si="21"/>
        <v>8.1622015129164963E-2</v>
      </c>
      <c r="Y10" s="118">
        <f t="shared" si="22"/>
        <v>8.0425682249315733E-2</v>
      </c>
      <c r="Z10" s="118">
        <f t="shared" si="23"/>
        <v>1.0290669091807918</v>
      </c>
      <c r="AA10" s="118">
        <f t="shared" si="24"/>
        <v>1.0290669091807918</v>
      </c>
      <c r="AB10" s="118">
        <v>1.0290669091807918</v>
      </c>
      <c r="AD10" s="143">
        <f t="shared" si="11"/>
        <v>1.009668420210549</v>
      </c>
      <c r="AE10" s="143">
        <f t="shared" si="12"/>
        <v>1.0197099129080955</v>
      </c>
      <c r="AF10" s="143">
        <f t="shared" si="13"/>
        <v>1.03019923524225</v>
      </c>
    </row>
    <row r="11" spans="1:32" s="90" customFormat="1" ht="15.75" x14ac:dyDescent="0.25">
      <c r="A11" s="144">
        <v>23</v>
      </c>
      <c r="B11" s="116">
        <f>'337-Adj'!C12</f>
        <v>6.0930835001842407</v>
      </c>
      <c r="C11" s="116">
        <f>'337-Adj'!D12</f>
        <v>6.1519939918419846</v>
      </c>
      <c r="D11" s="116">
        <f t="shared" si="2"/>
        <v>6.1225387460131131</v>
      </c>
      <c r="E11" s="117">
        <f t="shared" si="14"/>
        <v>0.10461023490180399</v>
      </c>
      <c r="F11" s="117">
        <f t="shared" si="15"/>
        <v>0.1056216506111592</v>
      </c>
      <c r="G11" s="116">
        <f t="shared" si="3"/>
        <v>0.10511594275648159</v>
      </c>
      <c r="H11" s="117">
        <f t="shared" si="16"/>
        <v>1.0063466536093399</v>
      </c>
      <c r="I11" s="117">
        <f t="shared" si="17"/>
        <v>1.0063466536093399</v>
      </c>
      <c r="J11" s="117">
        <f>'337-Adj'!H11</f>
        <v>1.0063466536093399</v>
      </c>
      <c r="K11" s="66">
        <f t="shared" si="0"/>
        <v>5.9630148797918281</v>
      </c>
      <c r="L11" s="66">
        <f t="shared" si="1"/>
        <v>6.0805453837422032</v>
      </c>
      <c r="M11" s="66">
        <f t="shared" si="4"/>
        <v>6.0217801317670157</v>
      </c>
      <c r="N11" s="69">
        <f t="shared" si="18"/>
        <v>0.10400471329232588</v>
      </c>
      <c r="O11" s="69">
        <f t="shared" si="19"/>
        <v>0.10607170940374808</v>
      </c>
      <c r="P11" s="123">
        <f t="shared" si="5"/>
        <v>0.10503821134803698</v>
      </c>
      <c r="Q11" s="69">
        <f t="shared" si="6"/>
        <v>1.0227022518279845</v>
      </c>
      <c r="R11" s="69">
        <f t="shared" si="7"/>
        <v>1.0227022518279845</v>
      </c>
      <c r="S11" s="123">
        <f t="shared" si="8"/>
        <v>1.0227022518279845</v>
      </c>
      <c r="T11" s="119">
        <f>'337-Adj'!L12</f>
        <v>5.8329462593994155</v>
      </c>
      <c r="U11" s="119">
        <f>'337-Adj'!M12</f>
        <v>6.009096775642421</v>
      </c>
      <c r="V11" s="119">
        <f t="shared" si="9"/>
        <v>5.9210215175209182</v>
      </c>
      <c r="W11" s="118">
        <f t="shared" si="20"/>
        <v>0.10339919168284778</v>
      </c>
      <c r="X11" s="118">
        <f t="shared" si="21"/>
        <v>0.10652176819633696</v>
      </c>
      <c r="Y11" s="118">
        <f t="shared" si="22"/>
        <v>0.10496047993959237</v>
      </c>
      <c r="Z11" s="118">
        <f t="shared" si="23"/>
        <v>1.039057850046629</v>
      </c>
      <c r="AA11" s="118">
        <f t="shared" si="24"/>
        <v>1.039057850046629</v>
      </c>
      <c r="AB11" s="118">
        <v>1.039057850046629</v>
      </c>
      <c r="AD11" s="143">
        <f t="shared" si="11"/>
        <v>1.009668420210549</v>
      </c>
      <c r="AE11" s="143">
        <f t="shared" si="12"/>
        <v>1.0197099129080955</v>
      </c>
      <c r="AF11" s="143">
        <f t="shared" si="13"/>
        <v>1.03019923524225</v>
      </c>
    </row>
    <row r="12" spans="1:32" s="90" customFormat="1" ht="15.75" x14ac:dyDescent="0.25">
      <c r="A12" s="144">
        <v>24</v>
      </c>
      <c r="B12" s="116">
        <f>'337-Adj'!C13</f>
        <v>6.2199992620280762</v>
      </c>
      <c r="C12" s="116">
        <f>'337-Adj'!D13</f>
        <v>6.280136828602668</v>
      </c>
      <c r="D12" s="116">
        <f t="shared" si="2"/>
        <v>6.2500680453153716</v>
      </c>
      <c r="E12" s="117">
        <f t="shared" si="14"/>
        <v>0.12894934118549636</v>
      </c>
      <c r="F12" s="117">
        <f t="shared" si="15"/>
        <v>0.13019607760195095</v>
      </c>
      <c r="G12" s="116">
        <f t="shared" si="3"/>
        <v>0.12957270939372367</v>
      </c>
      <c r="H12" s="117">
        <f t="shared" si="16"/>
        <v>1.0160230637402086</v>
      </c>
      <c r="I12" s="117">
        <f t="shared" si="17"/>
        <v>1.0160230637402086</v>
      </c>
      <c r="J12" s="117">
        <f>'337-Adj'!H12</f>
        <v>1.0160230637402086</v>
      </c>
      <c r="K12" s="66">
        <f t="shared" si="0"/>
        <v>6.0872213798885397</v>
      </c>
      <c r="L12" s="66">
        <f t="shared" si="1"/>
        <v>6.207199983138441</v>
      </c>
      <c r="M12" s="66">
        <f t="shared" si="4"/>
        <v>6.1472106815134904</v>
      </c>
      <c r="N12" s="69">
        <f t="shared" si="18"/>
        <v>0.12820293608766728</v>
      </c>
      <c r="O12" s="69">
        <f t="shared" si="19"/>
        <v>0.13075084917715651</v>
      </c>
      <c r="P12" s="123">
        <f t="shared" si="5"/>
        <v>0.12947689263241191</v>
      </c>
      <c r="Q12" s="69">
        <f t="shared" si="6"/>
        <v>1.032535927326331</v>
      </c>
      <c r="R12" s="69">
        <f t="shared" si="7"/>
        <v>1.032535927326331</v>
      </c>
      <c r="S12" s="123">
        <f t="shared" si="8"/>
        <v>1.032535927326331</v>
      </c>
      <c r="T12" s="119">
        <f>'337-Adj'!L13</f>
        <v>5.9544434977490042</v>
      </c>
      <c r="U12" s="119">
        <f>'337-Adj'!M13</f>
        <v>6.1342631376742132</v>
      </c>
      <c r="V12" s="119">
        <f t="shared" si="9"/>
        <v>6.0443533177116091</v>
      </c>
      <c r="W12" s="118">
        <f t="shared" si="20"/>
        <v>0.1274565309898382</v>
      </c>
      <c r="X12" s="118">
        <f t="shared" si="21"/>
        <v>0.13130562075236205</v>
      </c>
      <c r="Y12" s="118">
        <f t="shared" si="22"/>
        <v>0.12938107587110012</v>
      </c>
      <c r="Z12" s="118">
        <f t="shared" si="23"/>
        <v>1.0490487909124535</v>
      </c>
      <c r="AA12" s="118">
        <f t="shared" si="24"/>
        <v>1.0490487909124535</v>
      </c>
      <c r="AB12" s="118">
        <v>1.0490487909124535</v>
      </c>
      <c r="AD12" s="143">
        <f t="shared" si="11"/>
        <v>1.009668420210549</v>
      </c>
      <c r="AE12" s="143">
        <f t="shared" si="12"/>
        <v>1.0197099129080958</v>
      </c>
      <c r="AF12" s="143">
        <f t="shared" si="13"/>
        <v>1.0301992352422502</v>
      </c>
    </row>
    <row r="13" spans="1:32" s="90" customFormat="1" ht="15.75" x14ac:dyDescent="0.25">
      <c r="A13" s="144">
        <v>25</v>
      </c>
      <c r="B13" s="116">
        <f>'337-Adj'!C14</f>
        <v>6.3693201602032996</v>
      </c>
      <c r="C13" s="116">
        <f>'337-Adj'!D14</f>
        <v>6.4309014239676667</v>
      </c>
      <c r="D13" s="116">
        <f t="shared" si="2"/>
        <v>6.4001107920854832</v>
      </c>
      <c r="E13" s="117">
        <f t="shared" si="14"/>
        <v>0.15315836669628044</v>
      </c>
      <c r="F13" s="117">
        <f t="shared" si="15"/>
        <v>0.15463916614426212</v>
      </c>
      <c r="G13" s="116">
        <f t="shared" si="3"/>
        <v>0.15389876642027128</v>
      </c>
      <c r="H13" s="117">
        <f t="shared" si="16"/>
        <v>1.0256994738710576</v>
      </c>
      <c r="I13" s="117">
        <f t="shared" si="17"/>
        <v>1.0256994738710576</v>
      </c>
      <c r="J13" s="117">
        <f>'337-Adj'!H13</f>
        <v>1.0256994738710576</v>
      </c>
      <c r="K13" s="66">
        <f t="shared" si="0"/>
        <v>6.2333547354638927</v>
      </c>
      <c r="L13" s="66">
        <f t="shared" si="1"/>
        <v>6.3562136144251511</v>
      </c>
      <c r="M13" s="66">
        <f t="shared" si="4"/>
        <v>6.2947841749445219</v>
      </c>
      <c r="N13" s="69">
        <f t="shared" si="18"/>
        <v>0.15227183106433212</v>
      </c>
      <c r="O13" s="69">
        <f t="shared" si="19"/>
        <v>0.1552980908628131</v>
      </c>
      <c r="P13" s="123">
        <f t="shared" si="5"/>
        <v>0.15378496096357261</v>
      </c>
      <c r="Q13" s="69">
        <f t="shared" si="6"/>
        <v>1.0423696028246741</v>
      </c>
      <c r="R13" s="69">
        <f t="shared" si="7"/>
        <v>1.0423696028246741</v>
      </c>
      <c r="S13" s="123">
        <f t="shared" si="8"/>
        <v>1.0423696028246741</v>
      </c>
      <c r="T13" s="119">
        <f>'337-Adj'!L14</f>
        <v>6.0973893107244859</v>
      </c>
      <c r="U13" s="119">
        <f>'337-Adj'!M14</f>
        <v>6.2815258048826363</v>
      </c>
      <c r="V13" s="119">
        <f t="shared" si="9"/>
        <v>6.1894575578035607</v>
      </c>
      <c r="W13" s="118">
        <f t="shared" si="20"/>
        <v>0.15138529543238377</v>
      </c>
      <c r="X13" s="118">
        <f t="shared" si="21"/>
        <v>0.1559570155813641</v>
      </c>
      <c r="Y13" s="118">
        <f t="shared" si="22"/>
        <v>0.15367115550687394</v>
      </c>
      <c r="Z13" s="118">
        <f t="shared" si="23"/>
        <v>1.0590397317782902</v>
      </c>
      <c r="AA13" s="118">
        <f t="shared" si="24"/>
        <v>1.0590397317782902</v>
      </c>
      <c r="AB13" s="118">
        <v>1.0590397317782902</v>
      </c>
      <c r="AD13" s="143">
        <f t="shared" si="11"/>
        <v>1.009668420210549</v>
      </c>
      <c r="AE13" s="143">
        <f t="shared" si="12"/>
        <v>1.0197099129080955</v>
      </c>
      <c r="AF13" s="143">
        <f t="shared" si="13"/>
        <v>1.0301992352422502</v>
      </c>
    </row>
    <row r="14" spans="1:32" s="90" customFormat="1" ht="15.75" x14ac:dyDescent="0.25">
      <c r="A14" s="144">
        <v>26</v>
      </c>
      <c r="B14" s="116">
        <f>'337-Adj'!C15</f>
        <v>6.5404860663016251</v>
      </c>
      <c r="C14" s="116">
        <f>'337-Adj'!D15</f>
        <v>6.6037222339718697</v>
      </c>
      <c r="D14" s="116">
        <f t="shared" si="2"/>
        <v>6.572104150136747</v>
      </c>
      <c r="E14" s="117">
        <f t="shared" si="14"/>
        <v>0.178877322845372</v>
      </c>
      <c r="F14" s="117">
        <f t="shared" si="15"/>
        <v>0.18060678396877863</v>
      </c>
      <c r="G14" s="116">
        <f t="shared" si="3"/>
        <v>0.17974205340707533</v>
      </c>
      <c r="H14" s="117">
        <f t="shared" si="16"/>
        <v>1.0450522941327856</v>
      </c>
      <c r="I14" s="117">
        <f t="shared" si="17"/>
        <v>1.0450522941327856</v>
      </c>
      <c r="J14" s="117">
        <f>'337-Adj'!H14</f>
        <v>1.0450522941327856</v>
      </c>
      <c r="K14" s="66">
        <f t="shared" si="0"/>
        <v>6.4008667751309192</v>
      </c>
      <c r="L14" s="66">
        <f t="shared" si="1"/>
        <v>6.527027301805072</v>
      </c>
      <c r="M14" s="66">
        <f t="shared" si="4"/>
        <v>6.463947038467996</v>
      </c>
      <c r="N14" s="69">
        <f t="shared" si="18"/>
        <v>0.17784191665849028</v>
      </c>
      <c r="O14" s="69">
        <f t="shared" si="19"/>
        <v>0.18137635792123996</v>
      </c>
      <c r="P14" s="123">
        <f t="shared" si="5"/>
        <v>0.17960913728986511</v>
      </c>
      <c r="Q14" s="69">
        <f t="shared" si="6"/>
        <v>1.0620369538213712</v>
      </c>
      <c r="R14" s="69">
        <f t="shared" si="7"/>
        <v>1.0620369538213712</v>
      </c>
      <c r="S14" s="123">
        <f t="shared" si="8"/>
        <v>1.0620369538213712</v>
      </c>
      <c r="T14" s="119">
        <f>'337-Adj'!L15</f>
        <v>6.2612474839602132</v>
      </c>
      <c r="U14" s="119">
        <f>'337-Adj'!M15</f>
        <v>6.4503323696382742</v>
      </c>
      <c r="V14" s="119">
        <f t="shared" si="9"/>
        <v>6.3557899267992433</v>
      </c>
      <c r="W14" s="118">
        <f t="shared" si="20"/>
        <v>0.17680651047160856</v>
      </c>
      <c r="X14" s="118">
        <f t="shared" si="21"/>
        <v>0.18214593187370129</v>
      </c>
      <c r="Y14" s="118">
        <f t="shared" si="22"/>
        <v>0.17947622117265494</v>
      </c>
      <c r="Z14" s="118">
        <f t="shared" si="23"/>
        <v>1.0790216135099566</v>
      </c>
      <c r="AA14" s="118">
        <f t="shared" si="24"/>
        <v>1.0790216135099566</v>
      </c>
      <c r="AB14" s="118">
        <v>1.0790216135099566</v>
      </c>
      <c r="AD14" s="143">
        <f t="shared" si="11"/>
        <v>1.009668420210549</v>
      </c>
      <c r="AE14" s="143">
        <f t="shared" si="12"/>
        <v>1.0197099129080955</v>
      </c>
      <c r="AF14" s="143">
        <f t="shared" si="13"/>
        <v>1.03019923524225</v>
      </c>
    </row>
    <row r="15" spans="1:32" s="90" customFormat="1" ht="15.75" x14ac:dyDescent="0.25">
      <c r="A15" s="144">
        <v>27</v>
      </c>
      <c r="B15" s="116">
        <f>'337-Adj'!C16</f>
        <v>6.7329368519147685</v>
      </c>
      <c r="C15" s="116">
        <f>'337-Adj'!D16</f>
        <v>6.7980337146501713</v>
      </c>
      <c r="D15" s="116">
        <f t="shared" si="2"/>
        <v>6.7654852832824695</v>
      </c>
      <c r="E15" s="117">
        <f t="shared" si="14"/>
        <v>0.20377132750946805</v>
      </c>
      <c r="F15" s="117">
        <f t="shared" si="15"/>
        <v>0.2057414743306909</v>
      </c>
      <c r="G15" s="116">
        <f t="shared" si="3"/>
        <v>0.20475640092007946</v>
      </c>
      <c r="H15" s="117">
        <f t="shared" si="16"/>
        <v>1.0588230485017645</v>
      </c>
      <c r="I15" s="117">
        <f t="shared" si="17"/>
        <v>1.0588230485017645</v>
      </c>
      <c r="J15" s="117">
        <f>'337-Adj'!H15</f>
        <v>1.0588230485017645</v>
      </c>
      <c r="K15" s="66">
        <f t="shared" si="0"/>
        <v>6.5892093275026529</v>
      </c>
      <c r="L15" s="66">
        <f t="shared" si="1"/>
        <v>6.7190820694809421</v>
      </c>
      <c r="M15" s="66">
        <f t="shared" si="4"/>
        <v>6.6541456984917975</v>
      </c>
      <c r="N15" s="69">
        <f t="shared" si="18"/>
        <v>0.20259182588312274</v>
      </c>
      <c r="O15" s="69">
        <f t="shared" si="19"/>
        <v>0.2066181483741939</v>
      </c>
      <c r="P15" s="123">
        <f t="shared" si="5"/>
        <v>0.20460498712865832</v>
      </c>
      <c r="Q15" s="69">
        <f t="shared" si="6"/>
        <v>1.0760315166810144</v>
      </c>
      <c r="R15" s="69">
        <f t="shared" si="7"/>
        <v>1.0760315166810144</v>
      </c>
      <c r="S15" s="123">
        <f t="shared" si="8"/>
        <v>1.0760315166810144</v>
      </c>
      <c r="T15" s="119">
        <f>'337-Adj'!L16</f>
        <v>6.4454818030905381</v>
      </c>
      <c r="U15" s="119">
        <f>'337-Adj'!M16</f>
        <v>6.6401304243117121</v>
      </c>
      <c r="V15" s="119">
        <f t="shared" si="9"/>
        <v>6.5428061137011255</v>
      </c>
      <c r="W15" s="118">
        <f t="shared" si="20"/>
        <v>0.20141232425677746</v>
      </c>
      <c r="X15" s="118">
        <f t="shared" si="21"/>
        <v>0.20749482241769693</v>
      </c>
      <c r="Y15" s="118">
        <f t="shared" si="22"/>
        <v>0.20445357333723718</v>
      </c>
      <c r="Z15" s="118">
        <f t="shared" si="23"/>
        <v>1.0932399848602645</v>
      </c>
      <c r="AA15" s="118">
        <f t="shared" si="24"/>
        <v>1.0932399848602645</v>
      </c>
      <c r="AB15" s="118">
        <v>1.0932399848602645</v>
      </c>
      <c r="AD15" s="143">
        <f t="shared" si="11"/>
        <v>1.009668420210549</v>
      </c>
      <c r="AE15" s="143">
        <f t="shared" si="12"/>
        <v>1.0197099129080958</v>
      </c>
      <c r="AF15" s="143">
        <f t="shared" si="13"/>
        <v>1.0301992352422502</v>
      </c>
    </row>
    <row r="16" spans="1:32" s="90" customFormat="1" ht="15.75" x14ac:dyDescent="0.25">
      <c r="A16" s="144">
        <v>28</v>
      </c>
      <c r="B16" s="116">
        <f>'337-Adj'!C17</f>
        <v>6.946112388634444</v>
      </c>
      <c r="C16" s="116">
        <f>'337-Adj'!D17</f>
        <v>7.0132703220374628</v>
      </c>
      <c r="D16" s="116">
        <f t="shared" si="2"/>
        <v>6.9796913553359534</v>
      </c>
      <c r="E16" s="117">
        <f t="shared" si="14"/>
        <v>0.22866533217356377</v>
      </c>
      <c r="F16" s="117">
        <f t="shared" si="15"/>
        <v>0.23087616469260355</v>
      </c>
      <c r="G16" s="116">
        <f t="shared" si="3"/>
        <v>0.22977074843308365</v>
      </c>
      <c r="H16" s="117">
        <f t="shared" si="16"/>
        <v>1.0726621623298984</v>
      </c>
      <c r="I16" s="117">
        <f t="shared" si="17"/>
        <v>1.0726621623298984</v>
      </c>
      <c r="J16" s="117">
        <f>'337-Adj'!H16</f>
        <v>1.0726621623298984</v>
      </c>
      <c r="K16" s="66">
        <f t="shared" si="0"/>
        <v>6.7978342211921294</v>
      </c>
      <c r="L16" s="66">
        <f t="shared" si="1"/>
        <v>6.9318189416554983</v>
      </c>
      <c r="M16" s="66">
        <f t="shared" si="4"/>
        <v>6.8648265814238139</v>
      </c>
      <c r="N16" s="69">
        <f t="shared" si="18"/>
        <v>0.22734173510775574</v>
      </c>
      <c r="O16" s="69">
        <f t="shared" si="19"/>
        <v>0.23185993882714745</v>
      </c>
      <c r="P16" s="123">
        <f t="shared" si="5"/>
        <v>0.22960083696745159</v>
      </c>
      <c r="Q16" s="69">
        <f t="shared" si="6"/>
        <v>1.0900955500084721</v>
      </c>
      <c r="R16" s="69">
        <f t="shared" si="7"/>
        <v>1.0900955500084721</v>
      </c>
      <c r="S16" s="123">
        <f t="shared" si="8"/>
        <v>1.0900955500084721</v>
      </c>
      <c r="T16" s="119">
        <f>'337-Adj'!L17</f>
        <v>6.649556053749814</v>
      </c>
      <c r="U16" s="119">
        <f>'337-Adj'!M17</f>
        <v>6.8503675612735329</v>
      </c>
      <c r="V16" s="119">
        <f t="shared" si="9"/>
        <v>6.7499618075116734</v>
      </c>
      <c r="W16" s="118">
        <f t="shared" si="20"/>
        <v>0.22601813804194773</v>
      </c>
      <c r="X16" s="118">
        <f t="shared" si="21"/>
        <v>0.23284371296169135</v>
      </c>
      <c r="Y16" s="118">
        <f t="shared" si="22"/>
        <v>0.22943092550181954</v>
      </c>
      <c r="Z16" s="118">
        <f t="shared" si="23"/>
        <v>1.1075289376870459</v>
      </c>
      <c r="AA16" s="118">
        <f t="shared" si="24"/>
        <v>1.1075289376870459</v>
      </c>
      <c r="AB16" s="118">
        <v>1.1075289376870459</v>
      </c>
      <c r="AD16" s="143">
        <f t="shared" si="11"/>
        <v>1.009668420210549</v>
      </c>
      <c r="AE16" s="143">
        <f t="shared" si="12"/>
        <v>1.0197099129080955</v>
      </c>
      <c r="AF16" s="143">
        <f t="shared" si="13"/>
        <v>1.0301992352422502</v>
      </c>
    </row>
    <row r="17" spans="1:32" s="90" customFormat="1" ht="15.75" x14ac:dyDescent="0.25">
      <c r="A17" s="144">
        <v>29</v>
      </c>
      <c r="B17" s="116">
        <f>'337-Adj'!C18</f>
        <v>7.1794525480523692</v>
      </c>
      <c r="C17" s="116">
        <f>'337-Adj'!D18</f>
        <v>7.248866512168636</v>
      </c>
      <c r="D17" s="116">
        <f t="shared" si="2"/>
        <v>7.2141595301105026</v>
      </c>
      <c r="E17" s="117">
        <f t="shared" si="14"/>
        <v>0.25355933683766202</v>
      </c>
      <c r="F17" s="117">
        <f t="shared" si="15"/>
        <v>0.25601085505451554</v>
      </c>
      <c r="G17" s="116">
        <f t="shared" si="3"/>
        <v>0.25478509594608878</v>
      </c>
      <c r="H17" s="117">
        <f t="shared" si="16"/>
        <v>1.0866510825662168</v>
      </c>
      <c r="I17" s="117">
        <f t="shared" si="17"/>
        <v>1.0866510825662168</v>
      </c>
      <c r="J17" s="117">
        <f>'337-Adj'!H17</f>
        <v>1.0866510825662168</v>
      </c>
      <c r="K17" s="66">
        <f t="shared" si="0"/>
        <v>7.0261932848123818</v>
      </c>
      <c r="L17" s="66">
        <f t="shared" si="1"/>
        <v>7.164678942531479</v>
      </c>
      <c r="M17" s="66">
        <f t="shared" si="4"/>
        <v>7.0954361136719299</v>
      </c>
      <c r="N17" s="69">
        <f t="shared" si="18"/>
        <v>0.25209164433238962</v>
      </c>
      <c r="O17" s="69">
        <f t="shared" si="19"/>
        <v>0.257101729280101</v>
      </c>
      <c r="P17" s="123">
        <f t="shared" si="5"/>
        <v>0.25459668680624531</v>
      </c>
      <c r="Q17" s="69">
        <f t="shared" si="6"/>
        <v>1.1043118244652017</v>
      </c>
      <c r="R17" s="69">
        <f t="shared" si="7"/>
        <v>1.1043118244652017</v>
      </c>
      <c r="S17" s="123">
        <f t="shared" si="8"/>
        <v>1.1043118244652017</v>
      </c>
      <c r="T17" s="119">
        <f>'337-Adj'!L18</f>
        <v>6.8729340215723944</v>
      </c>
      <c r="U17" s="119">
        <f>'337-Adj'!M18</f>
        <v>7.0804913728943228</v>
      </c>
      <c r="V17" s="119">
        <f t="shared" si="9"/>
        <v>6.9767126972333582</v>
      </c>
      <c r="W17" s="118">
        <f t="shared" si="20"/>
        <v>0.25062395182711728</v>
      </c>
      <c r="X17" s="118">
        <f t="shared" si="21"/>
        <v>0.2581926035056864</v>
      </c>
      <c r="Y17" s="118">
        <f t="shared" si="22"/>
        <v>0.25440827766640184</v>
      </c>
      <c r="Z17" s="118">
        <f t="shared" si="23"/>
        <v>1.1219725663641866</v>
      </c>
      <c r="AA17" s="118">
        <f t="shared" si="24"/>
        <v>1.1219725663641866</v>
      </c>
      <c r="AB17" s="118">
        <v>1.1219725663641866</v>
      </c>
      <c r="AD17" s="143">
        <f t="shared" si="11"/>
        <v>1.009668420210549</v>
      </c>
      <c r="AE17" s="143">
        <f t="shared" si="12"/>
        <v>1.0197099129080955</v>
      </c>
      <c r="AF17" s="143">
        <f t="shared" si="13"/>
        <v>1.03019923524225</v>
      </c>
    </row>
    <row r="18" spans="1:32" s="90" customFormat="1" ht="15.75" x14ac:dyDescent="0.25">
      <c r="A18" s="144">
        <v>30</v>
      </c>
      <c r="B18" s="116">
        <f>'337-Adj'!C19</f>
        <v>7.4323972017602573</v>
      </c>
      <c r="C18" s="116">
        <f>'337-Adj'!D19</f>
        <v>7.5042567410785841</v>
      </c>
      <c r="D18" s="116">
        <f t="shared" si="2"/>
        <v>7.4683269714194207</v>
      </c>
      <c r="E18" s="117">
        <f t="shared" si="14"/>
        <v>0.27845334150175804</v>
      </c>
      <c r="F18" s="117">
        <f t="shared" si="15"/>
        <v>0.28114554541642894</v>
      </c>
      <c r="G18" s="116">
        <f t="shared" si="3"/>
        <v>0.27979944345909347</v>
      </c>
      <c r="H18" s="117">
        <f t="shared" si="16"/>
        <v>1.1008469142159791</v>
      </c>
      <c r="I18" s="117">
        <f t="shared" si="17"/>
        <v>1.1008469142159791</v>
      </c>
      <c r="J18" s="117">
        <f>'337-Adj'!H18</f>
        <v>1.1008469142159791</v>
      </c>
      <c r="K18" s="66">
        <f t="shared" si="0"/>
        <v>7.2737383469764438</v>
      </c>
      <c r="L18" s="66">
        <f t="shared" si="1"/>
        <v>7.4171030963116245</v>
      </c>
      <c r="M18" s="66">
        <f t="shared" si="4"/>
        <v>7.3454207216440341</v>
      </c>
      <c r="N18" s="69">
        <f t="shared" si="18"/>
        <v>0.27684155355702211</v>
      </c>
      <c r="O18" s="69">
        <f t="shared" si="19"/>
        <v>0.28234351973305555</v>
      </c>
      <c r="P18" s="123">
        <f t="shared" si="5"/>
        <v>0.2795925366450388</v>
      </c>
      <c r="Q18" s="69">
        <f t="shared" si="6"/>
        <v>1.1187383731526888</v>
      </c>
      <c r="R18" s="69">
        <f t="shared" si="7"/>
        <v>1.1187383731526888</v>
      </c>
      <c r="S18" s="123">
        <f t="shared" si="8"/>
        <v>1.1187383731526888</v>
      </c>
      <c r="T18" s="119">
        <f>'337-Adj'!L19</f>
        <v>7.1150794921926295</v>
      </c>
      <c r="U18" s="119">
        <f>'337-Adj'!M19</f>
        <v>7.3299494515446648</v>
      </c>
      <c r="V18" s="119">
        <f t="shared" si="9"/>
        <v>7.2225144718686476</v>
      </c>
      <c r="W18" s="118">
        <f t="shared" si="20"/>
        <v>0.27522976561228613</v>
      </c>
      <c r="X18" s="118">
        <f t="shared" si="21"/>
        <v>0.28354149404968215</v>
      </c>
      <c r="Y18" s="118">
        <f t="shared" si="22"/>
        <v>0.27938562983098414</v>
      </c>
      <c r="Z18" s="118">
        <f t="shared" si="23"/>
        <v>1.1366298320893984</v>
      </c>
      <c r="AA18" s="118">
        <f t="shared" si="24"/>
        <v>1.1366298320893984</v>
      </c>
      <c r="AB18" s="118">
        <v>1.1366298320893984</v>
      </c>
      <c r="AD18" s="143">
        <f t="shared" si="11"/>
        <v>1.009668420210549</v>
      </c>
      <c r="AE18" s="143">
        <f t="shared" si="12"/>
        <v>1.0197099129080955</v>
      </c>
      <c r="AF18" s="143">
        <f t="shared" si="13"/>
        <v>1.0301992352422502</v>
      </c>
    </row>
    <row r="19" spans="1:32" s="90" customFormat="1" ht="15.75" x14ac:dyDescent="0.25">
      <c r="A19" s="144">
        <v>31</v>
      </c>
      <c r="B19" s="116">
        <f>'337-Adj'!C20</f>
        <v>7.7043862213498242</v>
      </c>
      <c r="C19" s="116">
        <f>'337-Adj'!D20</f>
        <v>7.7788754648021987</v>
      </c>
      <c r="D19" s="116">
        <f t="shared" si="2"/>
        <v>7.7416308430760115</v>
      </c>
      <c r="E19" s="117">
        <f t="shared" si="14"/>
        <v>0.30334734616585468</v>
      </c>
      <c r="F19" s="117">
        <f t="shared" si="15"/>
        <v>0.30628023577834168</v>
      </c>
      <c r="G19" s="116">
        <f t="shared" si="3"/>
        <v>0.30481379097209815</v>
      </c>
      <c r="H19" s="117">
        <f t="shared" si="16"/>
        <v>1.1152926196197468</v>
      </c>
      <c r="I19" s="117">
        <f t="shared" si="17"/>
        <v>1.1152926196197468</v>
      </c>
      <c r="J19" s="117">
        <f>'337-Adj'!H19</f>
        <v>1.1152926196197468</v>
      </c>
      <c r="K19" s="66">
        <f t="shared" si="0"/>
        <v>7.5399212362973493</v>
      </c>
      <c r="L19" s="66">
        <f t="shared" si="1"/>
        <v>7.6885324271986706</v>
      </c>
      <c r="M19" s="66">
        <f t="shared" si="4"/>
        <v>7.6142268317480095</v>
      </c>
      <c r="N19" s="69">
        <f t="shared" si="18"/>
        <v>0.30159146278165583</v>
      </c>
      <c r="O19" s="69">
        <f t="shared" si="19"/>
        <v>0.30758531018600893</v>
      </c>
      <c r="P19" s="123">
        <f t="shared" si="5"/>
        <v>0.30458838648383235</v>
      </c>
      <c r="Q19" s="69">
        <f t="shared" si="6"/>
        <v>1.1334188566547598</v>
      </c>
      <c r="R19" s="69">
        <f t="shared" si="7"/>
        <v>1.1334188566547598</v>
      </c>
      <c r="S19" s="123">
        <f t="shared" si="8"/>
        <v>1.1334188566547598</v>
      </c>
      <c r="T19" s="119">
        <f>'337-Adj'!L20</f>
        <v>7.3754562512448745</v>
      </c>
      <c r="U19" s="119">
        <f>'337-Adj'!M20</f>
        <v>7.5981893895951425</v>
      </c>
      <c r="V19" s="119">
        <f t="shared" si="9"/>
        <v>7.4868228204200085</v>
      </c>
      <c r="W19" s="118">
        <f t="shared" si="20"/>
        <v>0.29983557939745692</v>
      </c>
      <c r="X19" s="118">
        <f t="shared" si="21"/>
        <v>0.30889038459367618</v>
      </c>
      <c r="Y19" s="118">
        <f t="shared" si="22"/>
        <v>0.30436298199556655</v>
      </c>
      <c r="Z19" s="118">
        <f t="shared" si="23"/>
        <v>1.1515450936897731</v>
      </c>
      <c r="AA19" s="118">
        <f t="shared" si="24"/>
        <v>1.1515450936897731</v>
      </c>
      <c r="AB19" s="118">
        <v>1.1515450936897731</v>
      </c>
      <c r="AD19" s="143">
        <f t="shared" si="11"/>
        <v>1.009668420210549</v>
      </c>
      <c r="AE19" s="143">
        <f t="shared" si="12"/>
        <v>1.0197099129080955</v>
      </c>
      <c r="AF19" s="143">
        <f t="shared" si="13"/>
        <v>1.03019923524225</v>
      </c>
    </row>
    <row r="20" spans="1:32" s="90" customFormat="1" ht="15.75" x14ac:dyDescent="0.25">
      <c r="A20" s="144">
        <v>32</v>
      </c>
      <c r="B20" s="116">
        <f>'337-Adj'!C21</f>
        <v>7.9948594784127867</v>
      </c>
      <c r="C20" s="116">
        <f>'337-Adj'!D21</f>
        <v>8.0721571393743723</v>
      </c>
      <c r="D20" s="116">
        <f t="shared" si="2"/>
        <v>8.0335083088935804</v>
      </c>
      <c r="E20" s="117">
        <f t="shared" si="14"/>
        <v>0.32824135082995193</v>
      </c>
      <c r="F20" s="117">
        <f t="shared" si="15"/>
        <v>0.33141492614025364</v>
      </c>
      <c r="G20" s="116">
        <f t="shared" si="3"/>
        <v>0.32982813848510278</v>
      </c>
      <c r="H20" s="117">
        <f t="shared" si="16"/>
        <v>1.1300226194620144</v>
      </c>
      <c r="I20" s="117">
        <f t="shared" si="17"/>
        <v>1.1300226194620144</v>
      </c>
      <c r="J20" s="117">
        <f>'337-Adj'!H20</f>
        <v>1.1300226194620144</v>
      </c>
      <c r="K20" s="66">
        <f t="shared" si="0"/>
        <v>7.8241937813881339</v>
      </c>
      <c r="L20" s="66">
        <f t="shared" si="1"/>
        <v>7.9784079593953576</v>
      </c>
      <c r="M20" s="66">
        <f t="shared" si="4"/>
        <v>7.9013008703917453</v>
      </c>
      <c r="N20" s="69">
        <f t="shared" si="18"/>
        <v>0.32634137200628893</v>
      </c>
      <c r="O20" s="69">
        <f t="shared" si="19"/>
        <v>0.3328271006389627</v>
      </c>
      <c r="P20" s="123">
        <f t="shared" si="5"/>
        <v>0.32958423632262579</v>
      </c>
      <c r="Q20" s="69">
        <f t="shared" si="6"/>
        <v>1.1483882550763491</v>
      </c>
      <c r="R20" s="69">
        <f t="shared" si="7"/>
        <v>1.1483882550763491</v>
      </c>
      <c r="S20" s="123">
        <f t="shared" si="8"/>
        <v>1.1483882550763491</v>
      </c>
      <c r="T20" s="119">
        <f>'337-Adj'!L21</f>
        <v>7.6535280843634821</v>
      </c>
      <c r="U20" s="119">
        <f>'337-Adj'!M21</f>
        <v>7.884658779416343</v>
      </c>
      <c r="V20" s="119">
        <f t="shared" si="9"/>
        <v>7.7690934318899121</v>
      </c>
      <c r="W20" s="118">
        <f t="shared" si="20"/>
        <v>0.32444139318262594</v>
      </c>
      <c r="X20" s="118">
        <f t="shared" si="21"/>
        <v>0.33423927513767182</v>
      </c>
      <c r="Y20" s="118">
        <f t="shared" si="22"/>
        <v>0.32934033416014885</v>
      </c>
      <c r="Z20" s="118">
        <f t="shared" si="23"/>
        <v>1.1667538906906836</v>
      </c>
      <c r="AA20" s="118">
        <f t="shared" si="24"/>
        <v>1.1667538906906836</v>
      </c>
      <c r="AB20" s="118">
        <v>1.1667538906906836</v>
      </c>
      <c r="AD20" s="143">
        <f t="shared" si="11"/>
        <v>1.009668420210549</v>
      </c>
      <c r="AE20" s="143">
        <f t="shared" si="12"/>
        <v>1.0197099129080958</v>
      </c>
      <c r="AF20" s="143">
        <f t="shared" si="13"/>
        <v>1.0301992352422502</v>
      </c>
    </row>
    <row r="21" spans="1:32" s="90" customFormat="1" ht="15.75" x14ac:dyDescent="0.25">
      <c r="A21" s="144">
        <v>33</v>
      </c>
      <c r="B21" s="116">
        <f>'337-Adj'!C22</f>
        <v>8.3032568445408579</v>
      </c>
      <c r="C21" s="116">
        <f>'337-Adj'!D22</f>
        <v>8.3835362208299973</v>
      </c>
      <c r="D21" s="116">
        <f t="shared" si="2"/>
        <v>8.3433965326854285</v>
      </c>
      <c r="E21" s="117">
        <f t="shared" si="14"/>
        <v>0.35313535549404784</v>
      </c>
      <c r="F21" s="117">
        <f t="shared" si="15"/>
        <v>0.3565496165021671</v>
      </c>
      <c r="G21" s="116">
        <f t="shared" si="3"/>
        <v>0.35484248599810747</v>
      </c>
      <c r="H21" s="117">
        <f t="shared" si="16"/>
        <v>1.1450660552898426</v>
      </c>
      <c r="I21" s="117">
        <f t="shared" si="17"/>
        <v>1.1450660552898426</v>
      </c>
      <c r="J21" s="117">
        <f>'337-Adj'!H21</f>
        <v>1.1450660552898426</v>
      </c>
      <c r="K21" s="66">
        <f t="shared" si="0"/>
        <v>8.1260078108618305</v>
      </c>
      <c r="L21" s="66">
        <f t="shared" si="1"/>
        <v>8.2861707171044223</v>
      </c>
      <c r="M21" s="66">
        <f t="shared" si="4"/>
        <v>8.2060892639831273</v>
      </c>
      <c r="N21" s="69">
        <f t="shared" si="18"/>
        <v>0.35109128123092181</v>
      </c>
      <c r="O21" s="69">
        <f t="shared" si="19"/>
        <v>0.35806889109191686</v>
      </c>
      <c r="P21" s="123">
        <f t="shared" si="5"/>
        <v>0.35458008616141934</v>
      </c>
      <c r="Q21" s="69">
        <f t="shared" si="6"/>
        <v>1.1636761835860447</v>
      </c>
      <c r="R21" s="69">
        <f t="shared" si="7"/>
        <v>1.1636761835860447</v>
      </c>
      <c r="S21" s="123">
        <f t="shared" si="8"/>
        <v>1.1636761835860447</v>
      </c>
      <c r="T21" s="119">
        <f>'337-Adj'!L22</f>
        <v>7.9487587771828032</v>
      </c>
      <c r="U21" s="119">
        <f>'337-Adj'!M22</f>
        <v>8.1888052133788474</v>
      </c>
      <c r="V21" s="119">
        <f t="shared" si="9"/>
        <v>8.0687819952808262</v>
      </c>
      <c r="W21" s="118">
        <f t="shared" si="20"/>
        <v>0.34904720696779573</v>
      </c>
      <c r="X21" s="118">
        <f t="shared" si="21"/>
        <v>0.35958816568166668</v>
      </c>
      <c r="Y21" s="118">
        <f t="shared" si="22"/>
        <v>0.35431768632473121</v>
      </c>
      <c r="Z21" s="118">
        <f t="shared" si="23"/>
        <v>1.1822863118822469</v>
      </c>
      <c r="AA21" s="118">
        <f t="shared" si="24"/>
        <v>1.1822863118822469</v>
      </c>
      <c r="AB21" s="118">
        <v>1.1822863118822469</v>
      </c>
      <c r="AD21" s="143">
        <f t="shared" si="11"/>
        <v>1.0096684202105493</v>
      </c>
      <c r="AE21" s="143">
        <f t="shared" si="12"/>
        <v>1.0197099129080958</v>
      </c>
      <c r="AF21" s="143">
        <f t="shared" si="13"/>
        <v>1.0301992352422502</v>
      </c>
    </row>
    <row r="22" spans="1:32" s="90" customFormat="1" ht="15.75" x14ac:dyDescent="0.25">
      <c r="A22" s="144">
        <v>34</v>
      </c>
      <c r="B22" s="116">
        <f>'337-Adj'!C23</f>
        <v>8.6290181913257555</v>
      </c>
      <c r="C22" s="116">
        <f>'337-Adj'!D23</f>
        <v>8.7124471652039635</v>
      </c>
      <c r="D22" s="116">
        <f t="shared" si="2"/>
        <v>8.6707326782648586</v>
      </c>
      <c r="E22" s="117">
        <f t="shared" si="14"/>
        <v>0.37802936015814648</v>
      </c>
      <c r="F22" s="117">
        <f t="shared" si="15"/>
        <v>0.38168430686407784</v>
      </c>
      <c r="G22" s="116">
        <f t="shared" si="3"/>
        <v>0.37985683351111216</v>
      </c>
      <c r="H22" s="117">
        <f t="shared" si="16"/>
        <v>1.1604487883203705</v>
      </c>
      <c r="I22" s="117">
        <f t="shared" si="17"/>
        <v>1.1604487883203705</v>
      </c>
      <c r="J22" s="117">
        <f>'337-Adj'!H22</f>
        <v>1.1604487883203705</v>
      </c>
      <c r="K22" s="66">
        <f t="shared" si="0"/>
        <v>8.4448151533314721</v>
      </c>
      <c r="L22" s="66">
        <f t="shared" si="1"/>
        <v>8.6112617245286014</v>
      </c>
      <c r="M22" s="66">
        <f t="shared" si="4"/>
        <v>8.5280384389300359</v>
      </c>
      <c r="N22" s="69">
        <f t="shared" si="18"/>
        <v>0.37584119045555614</v>
      </c>
      <c r="O22" s="69">
        <f t="shared" si="19"/>
        <v>0.38331068154486952</v>
      </c>
      <c r="P22" s="123">
        <f t="shared" si="5"/>
        <v>0.37957593600021283</v>
      </c>
      <c r="Q22" s="69">
        <f t="shared" si="6"/>
        <v>1.1793089237091101</v>
      </c>
      <c r="R22" s="69">
        <f t="shared" si="7"/>
        <v>1.1793089237091101</v>
      </c>
      <c r="S22" s="123">
        <f t="shared" si="8"/>
        <v>1.1793089237091101</v>
      </c>
      <c r="T22" s="119">
        <f>'337-Adj'!L23</f>
        <v>8.2606121153371905</v>
      </c>
      <c r="U22" s="119">
        <f>'337-Adj'!M23</f>
        <v>8.5100762838532393</v>
      </c>
      <c r="V22" s="119">
        <f t="shared" si="9"/>
        <v>8.3853441995952149</v>
      </c>
      <c r="W22" s="118">
        <f t="shared" si="20"/>
        <v>0.3736530207529658</v>
      </c>
      <c r="X22" s="118">
        <f t="shared" si="21"/>
        <v>0.38493705622566121</v>
      </c>
      <c r="Y22" s="118">
        <f t="shared" si="22"/>
        <v>0.37929503848931351</v>
      </c>
      <c r="Z22" s="118">
        <f t="shared" si="23"/>
        <v>1.1981690590978498</v>
      </c>
      <c r="AA22" s="118">
        <f t="shared" si="24"/>
        <v>1.1981690590978498</v>
      </c>
      <c r="AB22" s="118">
        <v>1.1981690590978498</v>
      </c>
      <c r="AD22" s="143">
        <f t="shared" si="11"/>
        <v>1.0096684202105488</v>
      </c>
      <c r="AE22" s="143">
        <f t="shared" si="12"/>
        <v>1.0197099129080955</v>
      </c>
      <c r="AF22" s="143">
        <f t="shared" si="13"/>
        <v>1.03019923524225</v>
      </c>
    </row>
    <row r="23" spans="1:32" s="90" customFormat="1" ht="15.75" x14ac:dyDescent="0.25">
      <c r="A23" s="144">
        <v>35</v>
      </c>
      <c r="B23" s="116">
        <f>'337-Adj'!C24</f>
        <v>8.9715833903591911</v>
      </c>
      <c r="C23" s="116">
        <f>'337-Adj'!D24</f>
        <v>9.0583244285311668</v>
      </c>
      <c r="D23" s="116">
        <f t="shared" si="2"/>
        <v>9.0149539094451789</v>
      </c>
      <c r="E23" s="117">
        <f t="shared" si="14"/>
        <v>0.40292336482223956</v>
      </c>
      <c r="F23" s="117">
        <f t="shared" si="15"/>
        <v>0.40681899722599196</v>
      </c>
      <c r="G23" s="116">
        <f t="shared" si="3"/>
        <v>0.40487118102411579</v>
      </c>
      <c r="H23" s="117">
        <f t="shared" si="16"/>
        <v>1.1761946804844963</v>
      </c>
      <c r="I23" s="117">
        <f t="shared" si="17"/>
        <v>1.1761946804844963</v>
      </c>
      <c r="J23" s="117">
        <f>'337-Adj'!H23</f>
        <v>1.1761946804844963</v>
      </c>
      <c r="K23" s="66">
        <f t="shared" si="0"/>
        <v>8.7800676374100952</v>
      </c>
      <c r="L23" s="66">
        <f t="shared" si="1"/>
        <v>8.953122005870636</v>
      </c>
      <c r="M23" s="66">
        <f t="shared" si="4"/>
        <v>8.8665948216403656</v>
      </c>
      <c r="N23" s="69">
        <f t="shared" si="18"/>
        <v>0.40059109968018747</v>
      </c>
      <c r="O23" s="69">
        <f t="shared" si="19"/>
        <v>0.4085524719978243</v>
      </c>
      <c r="P23" s="123">
        <f t="shared" si="5"/>
        <v>0.40457178583900588</v>
      </c>
      <c r="Q23" s="69">
        <f t="shared" si="6"/>
        <v>1.1953107251912671</v>
      </c>
      <c r="R23" s="69">
        <f t="shared" si="7"/>
        <v>1.1953107251912671</v>
      </c>
      <c r="S23" s="123">
        <f t="shared" si="8"/>
        <v>1.1953107251912671</v>
      </c>
      <c r="T23" s="119">
        <f>'337-Adj'!L24</f>
        <v>8.5885518844609994</v>
      </c>
      <c r="U23" s="119">
        <f>'337-Adj'!M24</f>
        <v>8.847919583210107</v>
      </c>
      <c r="V23" s="119">
        <f t="shared" si="9"/>
        <v>8.7182357338355523</v>
      </c>
      <c r="W23" s="118">
        <f t="shared" si="20"/>
        <v>0.39825883453813543</v>
      </c>
      <c r="X23" s="118">
        <f t="shared" si="21"/>
        <v>0.41028594676965657</v>
      </c>
      <c r="Y23" s="118">
        <f t="shared" si="22"/>
        <v>0.40427239065389597</v>
      </c>
      <c r="Z23" s="118">
        <f t="shared" si="23"/>
        <v>1.2144267698980378</v>
      </c>
      <c r="AA23" s="118">
        <f t="shared" si="24"/>
        <v>1.2144267698980378</v>
      </c>
      <c r="AB23" s="118">
        <v>1.2144267698980378</v>
      </c>
      <c r="AD23" s="143">
        <f t="shared" si="11"/>
        <v>1.009668420210549</v>
      </c>
      <c r="AE23" s="143">
        <f t="shared" si="12"/>
        <v>1.0197099129080955</v>
      </c>
      <c r="AF23" s="143">
        <f t="shared" si="13"/>
        <v>1.03019923524225</v>
      </c>
    </row>
    <row r="24" spans="1:32" s="90" customFormat="1" ht="15.75" x14ac:dyDescent="0.25">
      <c r="A24" s="144">
        <v>36</v>
      </c>
      <c r="B24" s="116">
        <f>'337-Adj'!C25</f>
        <v>9.330392313232883</v>
      </c>
      <c r="C24" s="116">
        <f>'337-Adj'!D25</f>
        <v>9.4206024668464945</v>
      </c>
      <c r="D24" s="116">
        <f t="shared" si="2"/>
        <v>9.3754973900396887</v>
      </c>
      <c r="E24" s="117">
        <f t="shared" si="14"/>
        <v>0.42781736948633958</v>
      </c>
      <c r="F24" s="117">
        <f t="shared" si="15"/>
        <v>0.43195368758790337</v>
      </c>
      <c r="G24" s="116">
        <f t="shared" si="3"/>
        <v>0.42988552853712148</v>
      </c>
      <c r="H24" s="117">
        <f t="shared" si="16"/>
        <v>1.1923264506912501</v>
      </c>
      <c r="I24" s="117">
        <f t="shared" si="17"/>
        <v>1.1923264506912501</v>
      </c>
      <c r="J24" s="117">
        <f>'337-Adj'!H24</f>
        <v>1.1923264506912501</v>
      </c>
      <c r="K24" s="66">
        <f t="shared" si="0"/>
        <v>9.1312170917107309</v>
      </c>
      <c r="L24" s="66">
        <f t="shared" si="1"/>
        <v>9.3111925853332629</v>
      </c>
      <c r="M24" s="66">
        <f t="shared" si="4"/>
        <v>9.2212048385219969</v>
      </c>
      <c r="N24" s="69">
        <f t="shared" si="18"/>
        <v>0.42534100890482207</v>
      </c>
      <c r="O24" s="69">
        <f t="shared" si="19"/>
        <v>0.43379426245077768</v>
      </c>
      <c r="P24" s="123">
        <f t="shared" si="5"/>
        <v>0.42956763567779988</v>
      </c>
      <c r="Q24" s="69">
        <f t="shared" si="6"/>
        <v>1.211704676179477</v>
      </c>
      <c r="R24" s="69">
        <f t="shared" si="7"/>
        <v>1.211704676179477</v>
      </c>
      <c r="S24" s="123">
        <f t="shared" si="8"/>
        <v>1.211704676179477</v>
      </c>
      <c r="T24" s="119">
        <f>'337-Adj'!L25</f>
        <v>8.9320418701885771</v>
      </c>
      <c r="U24" s="119">
        <f>'337-Adj'!M25</f>
        <v>9.2017827038200295</v>
      </c>
      <c r="V24" s="119">
        <f t="shared" si="9"/>
        <v>9.0669122870043033</v>
      </c>
      <c r="W24" s="118">
        <f t="shared" si="20"/>
        <v>0.4228646483233045</v>
      </c>
      <c r="X24" s="118">
        <f t="shared" si="21"/>
        <v>0.43563483731365199</v>
      </c>
      <c r="Y24" s="118">
        <f t="shared" si="22"/>
        <v>0.42924974281847827</v>
      </c>
      <c r="Z24" s="118">
        <f t="shared" si="23"/>
        <v>1.2310829016677036</v>
      </c>
      <c r="AA24" s="118">
        <f t="shared" si="24"/>
        <v>1.2310829016677036</v>
      </c>
      <c r="AB24" s="118">
        <v>1.2310829016677036</v>
      </c>
      <c r="AD24" s="143">
        <f t="shared" si="11"/>
        <v>1.009668420210549</v>
      </c>
      <c r="AE24" s="143">
        <f t="shared" si="12"/>
        <v>1.0197099129080955</v>
      </c>
      <c r="AF24" s="143">
        <f t="shared" si="13"/>
        <v>1.0301992352422502</v>
      </c>
    </row>
    <row r="25" spans="1:32" s="90" customFormat="1" ht="15.75" x14ac:dyDescent="0.25">
      <c r="A25" s="144">
        <v>37</v>
      </c>
      <c r="B25" s="116">
        <f>'337-Adj'!C26</f>
        <v>9.7048848315385463</v>
      </c>
      <c r="C25" s="116">
        <f>'337-Adj'!D26</f>
        <v>9.7987157361848443</v>
      </c>
      <c r="D25" s="116">
        <f t="shared" si="2"/>
        <v>9.7518002838616944</v>
      </c>
      <c r="E25" s="117">
        <f t="shared" si="14"/>
        <v>0.45271137415043611</v>
      </c>
      <c r="F25" s="117">
        <f t="shared" si="15"/>
        <v>0.45708837794981833</v>
      </c>
      <c r="G25" s="116">
        <f t="shared" si="3"/>
        <v>0.45489987605012722</v>
      </c>
      <c r="H25" s="117">
        <f t="shared" si="16"/>
        <v>1.2088662710770901</v>
      </c>
      <c r="I25" s="117">
        <f t="shared" si="17"/>
        <v>1.2088662710770901</v>
      </c>
      <c r="J25" s="117">
        <f>'337-Adj'!H25</f>
        <v>1.2088662710770901</v>
      </c>
      <c r="K25" s="66">
        <f t="shared" si="0"/>
        <v>9.497715344846414</v>
      </c>
      <c r="L25" s="66">
        <f t="shared" si="1"/>
        <v>9.6849144871192188</v>
      </c>
      <c r="M25" s="66">
        <f t="shared" si="4"/>
        <v>9.5913149159828173</v>
      </c>
      <c r="N25" s="69">
        <f t="shared" si="18"/>
        <v>0.45009091812945534</v>
      </c>
      <c r="O25" s="69">
        <f t="shared" si="19"/>
        <v>0.45903605290373245</v>
      </c>
      <c r="P25" s="123">
        <f t="shared" si="5"/>
        <v>0.45456348551659387</v>
      </c>
      <c r="Q25" s="69">
        <f t="shared" si="6"/>
        <v>1.2285133091617193</v>
      </c>
      <c r="R25" s="69">
        <f t="shared" si="7"/>
        <v>1.2285133091617193</v>
      </c>
      <c r="S25" s="123">
        <f t="shared" si="8"/>
        <v>1.2285133091617193</v>
      </c>
      <c r="T25" s="119">
        <f>'337-Adj'!L26</f>
        <v>9.2905458581542817</v>
      </c>
      <c r="U25" s="119">
        <f>'337-Adj'!M26</f>
        <v>9.571113238053595</v>
      </c>
      <c r="V25" s="119">
        <f t="shared" si="9"/>
        <v>9.4308295481039384</v>
      </c>
      <c r="W25" s="118">
        <f t="shared" si="20"/>
        <v>0.44747046210847458</v>
      </c>
      <c r="X25" s="118">
        <f t="shared" si="21"/>
        <v>0.46098372785764657</v>
      </c>
      <c r="Y25" s="118">
        <f t="shared" si="22"/>
        <v>0.45422709498306058</v>
      </c>
      <c r="Z25" s="118">
        <f t="shared" si="23"/>
        <v>1.2481603472463485</v>
      </c>
      <c r="AA25" s="118">
        <f t="shared" si="24"/>
        <v>1.2481603472463485</v>
      </c>
      <c r="AB25" s="118">
        <v>1.2481603472463485</v>
      </c>
      <c r="AD25" s="143">
        <f t="shared" si="11"/>
        <v>1.009668420210549</v>
      </c>
      <c r="AE25" s="143">
        <f t="shared" si="12"/>
        <v>1.0197099129080955</v>
      </c>
      <c r="AF25" s="143">
        <f t="shared" si="13"/>
        <v>1.03019923524225</v>
      </c>
    </row>
    <row r="26" spans="1:32" s="90" customFormat="1" ht="15.75" x14ac:dyDescent="0.25">
      <c r="A26" s="144">
        <v>38</v>
      </c>
      <c r="B26" s="116">
        <f>'337-Adj'!C27</f>
        <v>10.094500816867896</v>
      </c>
      <c r="C26" s="116">
        <f>'337-Adj'!D27</f>
        <v>10.192098692581105</v>
      </c>
      <c r="D26" s="116">
        <f t="shared" si="2"/>
        <v>10.143299754724501</v>
      </c>
      <c r="E26" s="117">
        <f t="shared" si="14"/>
        <v>0.47760537881453119</v>
      </c>
      <c r="F26" s="117">
        <f t="shared" si="15"/>
        <v>0.48222306831172829</v>
      </c>
      <c r="G26" s="116">
        <f t="shared" si="3"/>
        <v>0.47991422356312974</v>
      </c>
      <c r="H26" s="117">
        <f t="shared" si="16"/>
        <v>1.2258361997411436</v>
      </c>
      <c r="I26" s="117">
        <f t="shared" si="17"/>
        <v>1.2258361997411436</v>
      </c>
      <c r="J26" s="117">
        <f>'337-Adj'!H26</f>
        <v>1.2258361997411436</v>
      </c>
      <c r="K26" s="66">
        <f t="shared" si="0"/>
        <v>9.8790142254301809</v>
      </c>
      <c r="L26" s="66">
        <f t="shared" si="1"/>
        <v>10.073728735431246</v>
      </c>
      <c r="M26" s="66">
        <f t="shared" si="4"/>
        <v>9.9763714804307142</v>
      </c>
      <c r="N26" s="69">
        <f t="shared" si="18"/>
        <v>0.47484082735408784</v>
      </c>
      <c r="O26" s="69">
        <f t="shared" si="19"/>
        <v>0.48427784335668478</v>
      </c>
      <c r="P26" s="123">
        <f t="shared" si="5"/>
        <v>0.47955933535538631</v>
      </c>
      <c r="Q26" s="69">
        <f t="shared" si="6"/>
        <v>1.2457590407352694</v>
      </c>
      <c r="R26" s="69">
        <f t="shared" si="7"/>
        <v>1.2457590407352694</v>
      </c>
      <c r="S26" s="123">
        <f t="shared" si="8"/>
        <v>1.2457590407352694</v>
      </c>
      <c r="T26" s="119">
        <f>'337-Adj'!L27</f>
        <v>9.6635276339924658</v>
      </c>
      <c r="U26" s="119">
        <f>'337-Adj'!M27</f>
        <v>9.9553587782813882</v>
      </c>
      <c r="V26" s="119">
        <f t="shared" si="9"/>
        <v>9.8094432061369261</v>
      </c>
      <c r="W26" s="118">
        <f t="shared" si="20"/>
        <v>0.47207627589364454</v>
      </c>
      <c r="X26" s="118">
        <f t="shared" si="21"/>
        <v>0.48633261840164133</v>
      </c>
      <c r="Y26" s="118">
        <f t="shared" si="22"/>
        <v>0.47920444714764293</v>
      </c>
      <c r="Z26" s="118">
        <f t="shared" si="23"/>
        <v>1.2656818817293956</v>
      </c>
      <c r="AA26" s="118">
        <f t="shared" si="24"/>
        <v>1.2656818817293956</v>
      </c>
      <c r="AB26" s="118">
        <v>1.2656818817293956</v>
      </c>
      <c r="AD26" s="143">
        <f t="shared" si="11"/>
        <v>1.009668420210549</v>
      </c>
      <c r="AE26" s="143">
        <f t="shared" si="12"/>
        <v>1.0197099129080955</v>
      </c>
      <c r="AF26" s="143">
        <f t="shared" si="13"/>
        <v>1.03019923524225</v>
      </c>
    </row>
    <row r="27" spans="1:32" s="90" customFormat="1" ht="15.75" x14ac:dyDescent="0.25">
      <c r="A27" s="144">
        <v>39</v>
      </c>
      <c r="B27" s="116">
        <f>'337-Adj'!C28</f>
        <v>10.498680140812647</v>
      </c>
      <c r="C27" s="116">
        <f>'337-Adj'!D28</f>
        <v>10.600185792070169</v>
      </c>
      <c r="D27" s="116">
        <f t="shared" si="2"/>
        <v>10.549432966441408</v>
      </c>
      <c r="E27" s="117">
        <f t="shared" si="14"/>
        <v>0.50249938347862921</v>
      </c>
      <c r="F27" s="117">
        <f t="shared" si="15"/>
        <v>0.50735775867364186</v>
      </c>
      <c r="G27" s="116">
        <f t="shared" si="3"/>
        <v>0.50492857107613554</v>
      </c>
      <c r="H27" s="117">
        <f t="shared" si="16"/>
        <v>1.2432585085607146</v>
      </c>
      <c r="I27" s="117">
        <f t="shared" si="17"/>
        <v>1.2432585085607146</v>
      </c>
      <c r="J27" s="117">
        <f>'337-Adj'!H27</f>
        <v>1.2432585085607146</v>
      </c>
      <c r="K27" s="66">
        <f t="shared" si="0"/>
        <v>10.274565562075063</v>
      </c>
      <c r="L27" s="66">
        <f t="shared" si="1"/>
        <v>10.477076354472079</v>
      </c>
      <c r="M27" s="66">
        <f t="shared" si="4"/>
        <v>10.375820958273572</v>
      </c>
      <c r="N27" s="69">
        <f t="shared" si="18"/>
        <v>0.49959073657872166</v>
      </c>
      <c r="O27" s="69">
        <f t="shared" si="19"/>
        <v>0.50951963380963905</v>
      </c>
      <c r="P27" s="123">
        <f t="shared" si="5"/>
        <v>0.5045551851941803</v>
      </c>
      <c r="Q27" s="69">
        <f t="shared" si="6"/>
        <v>1.2634645047499942</v>
      </c>
      <c r="R27" s="69">
        <f t="shared" si="7"/>
        <v>1.2634645047499942</v>
      </c>
      <c r="S27" s="123">
        <f t="shared" si="8"/>
        <v>1.2634645047499942</v>
      </c>
      <c r="T27" s="119">
        <f>'337-Adj'!L28</f>
        <v>10.050450983337479</v>
      </c>
      <c r="U27" s="119">
        <f>'337-Adj'!M28</f>
        <v>10.35396691687399</v>
      </c>
      <c r="V27" s="119">
        <f t="shared" si="9"/>
        <v>10.202208950105735</v>
      </c>
      <c r="W27" s="118">
        <f t="shared" si="20"/>
        <v>0.49668208967881411</v>
      </c>
      <c r="X27" s="118">
        <f t="shared" si="21"/>
        <v>0.51168150894563635</v>
      </c>
      <c r="Y27" s="118">
        <f t="shared" si="22"/>
        <v>0.50418179931222529</v>
      </c>
      <c r="Z27" s="118">
        <f t="shared" si="23"/>
        <v>1.2836705009392735</v>
      </c>
      <c r="AA27" s="118">
        <f t="shared" si="24"/>
        <v>1.2836705009392735</v>
      </c>
      <c r="AB27" s="118">
        <v>1.2836705009392735</v>
      </c>
      <c r="AD27" s="143">
        <f t="shared" si="11"/>
        <v>1.009668420210549</v>
      </c>
      <c r="AE27" s="143">
        <f t="shared" si="12"/>
        <v>1.0197099129080953</v>
      </c>
      <c r="AF27" s="143">
        <f t="shared" si="13"/>
        <v>1.03019923524225</v>
      </c>
    </row>
    <row r="28" spans="1:32" s="90" customFormat="1" ht="15.75" x14ac:dyDescent="0.25">
      <c r="A28" s="144">
        <v>40</v>
      </c>
      <c r="B28" s="116">
        <f>'337-Adj'!C29</f>
        <v>10.916862674964515</v>
      </c>
      <c r="C28" s="116">
        <f>'337-Adj'!D29</f>
        <v>11.022411490686929</v>
      </c>
      <c r="D28" s="116">
        <f t="shared" si="2"/>
        <v>10.969637082825722</v>
      </c>
      <c r="E28" s="117">
        <f t="shared" si="14"/>
        <v>0.52739338814272774</v>
      </c>
      <c r="F28" s="117">
        <f t="shared" si="15"/>
        <v>0.53249244903555693</v>
      </c>
      <c r="G28" s="116">
        <f t="shared" si="3"/>
        <v>0.52994291858914233</v>
      </c>
      <c r="H28" s="117">
        <f t="shared" si="16"/>
        <v>1.2611559428524559</v>
      </c>
      <c r="I28" s="117">
        <f t="shared" si="17"/>
        <v>1.2611559428524559</v>
      </c>
      <c r="J28" s="117">
        <f>'337-Adj'!H28</f>
        <v>1.2611559428524559</v>
      </c>
      <c r="K28" s="66">
        <f t="shared" si="0"/>
        <v>10.683821183394095</v>
      </c>
      <c r="L28" s="66">
        <f t="shared" si="1"/>
        <v>10.894398368444458</v>
      </c>
      <c r="M28" s="66">
        <f t="shared" si="4"/>
        <v>10.789109775919275</v>
      </c>
      <c r="N28" s="69">
        <f t="shared" si="18"/>
        <v>0.52434064580335504</v>
      </c>
      <c r="O28" s="69">
        <f t="shared" si="19"/>
        <v>0.53476142426259488</v>
      </c>
      <c r="P28" s="123">
        <f t="shared" si="5"/>
        <v>0.52955103503297496</v>
      </c>
      <c r="Q28" s="69">
        <f t="shared" si="6"/>
        <v>1.2816528161896525</v>
      </c>
      <c r="R28" s="69">
        <f t="shared" si="7"/>
        <v>1.2816528161896525</v>
      </c>
      <c r="S28" s="123">
        <f t="shared" si="8"/>
        <v>1.2816528161896525</v>
      </c>
      <c r="T28" s="119">
        <f>'337-Adj'!L29</f>
        <v>10.450779691823673</v>
      </c>
      <c r="U28" s="119">
        <f>'337-Adj'!M29</f>
        <v>10.766385246201986</v>
      </c>
      <c r="V28" s="119">
        <f t="shared" si="9"/>
        <v>10.608582469012831</v>
      </c>
      <c r="W28" s="118">
        <f t="shared" si="20"/>
        <v>0.52128790346398235</v>
      </c>
      <c r="X28" s="118">
        <f t="shared" si="21"/>
        <v>0.53703039948963271</v>
      </c>
      <c r="Y28" s="118">
        <f t="shared" si="22"/>
        <v>0.52915915147680748</v>
      </c>
      <c r="Z28" s="118">
        <f t="shared" si="23"/>
        <v>1.3021496895268494</v>
      </c>
      <c r="AA28" s="118">
        <f t="shared" si="24"/>
        <v>1.3021496895268494</v>
      </c>
      <c r="AB28" s="118">
        <v>1.3021496895268494</v>
      </c>
      <c r="AD28" s="143">
        <f t="shared" si="11"/>
        <v>1.009668420210549</v>
      </c>
      <c r="AE28" s="143">
        <f t="shared" si="12"/>
        <v>1.0197099129080955</v>
      </c>
      <c r="AF28" s="143">
        <f t="shared" si="13"/>
        <v>1.0301992352422502</v>
      </c>
    </row>
    <row r="29" spans="1:32" s="90" customFormat="1" ht="15.75" x14ac:dyDescent="0.25">
      <c r="A29" s="144">
        <v>41</v>
      </c>
      <c r="B29" s="116">
        <f>'337-Adj'!C30</f>
        <v>11.348488290915215</v>
      </c>
      <c r="C29" s="116">
        <f>'337-Adj'!D30</f>
        <v>11.458210244466278</v>
      </c>
      <c r="D29" s="116">
        <f t="shared" si="2"/>
        <v>11.403349267690746</v>
      </c>
      <c r="E29" s="117">
        <f t="shared" si="14"/>
        <v>0.54730859187400116</v>
      </c>
      <c r="F29" s="117">
        <f t="shared" si="15"/>
        <v>0.55260020132508214</v>
      </c>
      <c r="G29" s="116">
        <f t="shared" si="3"/>
        <v>0.54995439659954171</v>
      </c>
      <c r="H29" s="117">
        <f t="shared" si="16"/>
        <v>1.2680169379393684</v>
      </c>
      <c r="I29" s="117">
        <f t="shared" si="17"/>
        <v>1.2680169379393684</v>
      </c>
      <c r="J29" s="117">
        <f>'337-Adj'!H29</f>
        <v>1.2680169379393684</v>
      </c>
      <c r="K29" s="66">
        <f t="shared" si="0"/>
        <v>11.106232918000309</v>
      </c>
      <c r="L29" s="66">
        <f t="shared" si="1"/>
        <v>11.32513580155112</v>
      </c>
      <c r="M29" s="66">
        <f t="shared" si="4"/>
        <v>11.215684359775715</v>
      </c>
      <c r="N29" s="69">
        <f t="shared" si="18"/>
        <v>0.54414057318305997</v>
      </c>
      <c r="O29" s="69">
        <f t="shared" si="19"/>
        <v>0.55495485662495514</v>
      </c>
      <c r="P29" s="123">
        <f t="shared" si="5"/>
        <v>0.54954771490400756</v>
      </c>
      <c r="Q29" s="69">
        <f t="shared" si="6"/>
        <v>1.2886253192530894</v>
      </c>
      <c r="R29" s="69">
        <f t="shared" si="7"/>
        <v>1.2886253192530894</v>
      </c>
      <c r="S29" s="123">
        <f t="shared" si="8"/>
        <v>1.2886253192530894</v>
      </c>
      <c r="T29" s="119">
        <f>'337-Adj'!L30</f>
        <v>10.863977545085405</v>
      </c>
      <c r="U29" s="119">
        <f>'337-Adj'!M30</f>
        <v>11.192061358635963</v>
      </c>
      <c r="V29" s="119">
        <f t="shared" si="9"/>
        <v>11.028019451860683</v>
      </c>
      <c r="W29" s="118">
        <f t="shared" si="20"/>
        <v>0.5409725544921189</v>
      </c>
      <c r="X29" s="118">
        <f t="shared" si="21"/>
        <v>0.55730951192482803</v>
      </c>
      <c r="Y29" s="118">
        <f t="shared" si="22"/>
        <v>0.54914103320847341</v>
      </c>
      <c r="Z29" s="118">
        <f t="shared" si="23"/>
        <v>1.3092337005668102</v>
      </c>
      <c r="AA29" s="118">
        <f t="shared" si="24"/>
        <v>1.3092337005668102</v>
      </c>
      <c r="AB29" s="118">
        <v>1.3092337005668102</v>
      </c>
      <c r="AD29" s="143">
        <f t="shared" si="11"/>
        <v>1.009668420210549</v>
      </c>
      <c r="AE29" s="143">
        <f t="shared" si="12"/>
        <v>1.0197099129080958</v>
      </c>
      <c r="AF29" s="143">
        <f t="shared" si="13"/>
        <v>1.0301992352422502</v>
      </c>
    </row>
    <row r="30" spans="1:32" s="90" customFormat="1" ht="15.75" x14ac:dyDescent="0.25">
      <c r="A30" s="144">
        <v>42</v>
      </c>
      <c r="B30" s="116">
        <f>'337-Adj'!C31</f>
        <v>11.792996860256462</v>
      </c>
      <c r="C30" s="116">
        <f>'337-Adj'!D31</f>
        <v>11.907016509443107</v>
      </c>
      <c r="D30" s="116">
        <f t="shared" si="2"/>
        <v>11.850006684849784</v>
      </c>
      <c r="E30" s="117">
        <f t="shared" si="14"/>
        <v>0.56722379560527969</v>
      </c>
      <c r="F30" s="117">
        <f t="shared" si="15"/>
        <v>0.57270795361461546</v>
      </c>
      <c r="G30" s="116">
        <f t="shared" si="3"/>
        <v>0.56996587460994763</v>
      </c>
      <c r="H30" s="117">
        <f t="shared" si="16"/>
        <v>1.2760694275160867</v>
      </c>
      <c r="I30" s="117">
        <f t="shared" si="17"/>
        <v>1.2760694275160867</v>
      </c>
      <c r="J30" s="117">
        <f>'337-Adj'!H30</f>
        <v>1.2760694275160867</v>
      </c>
      <c r="K30" s="66">
        <f t="shared" si="0"/>
        <v>11.541252594506744</v>
      </c>
      <c r="L30" s="66">
        <f t="shared" si="1"/>
        <v>11.768729677994804</v>
      </c>
      <c r="M30" s="66">
        <f t="shared" si="4"/>
        <v>11.654991136250775</v>
      </c>
      <c r="N30" s="69">
        <f t="shared" si="18"/>
        <v>0.56394050056276734</v>
      </c>
      <c r="O30" s="69">
        <f t="shared" si="19"/>
        <v>0.57514828898731962</v>
      </c>
      <c r="P30" s="123">
        <f t="shared" si="5"/>
        <v>0.56954439477504348</v>
      </c>
      <c r="Q30" s="69">
        <f t="shared" si="6"/>
        <v>1.2968086815104107</v>
      </c>
      <c r="R30" s="69">
        <f t="shared" si="7"/>
        <v>1.2968086815104107</v>
      </c>
      <c r="S30" s="123">
        <f t="shared" si="8"/>
        <v>1.2968086815104107</v>
      </c>
      <c r="T30" s="119">
        <f>'337-Adj'!L31</f>
        <v>11.289508328757025</v>
      </c>
      <c r="U30" s="119">
        <f>'337-Adj'!M31</f>
        <v>11.630442846546501</v>
      </c>
      <c r="V30" s="119">
        <f t="shared" si="9"/>
        <v>11.459975587651762</v>
      </c>
      <c r="W30" s="118">
        <f t="shared" si="20"/>
        <v>0.56065720552025511</v>
      </c>
      <c r="X30" s="118">
        <f t="shared" si="21"/>
        <v>0.57758862436002367</v>
      </c>
      <c r="Y30" s="118">
        <f t="shared" si="22"/>
        <v>0.56912291494013934</v>
      </c>
      <c r="Z30" s="118">
        <f t="shared" si="23"/>
        <v>1.3175479355047348</v>
      </c>
      <c r="AA30" s="118">
        <f t="shared" si="24"/>
        <v>1.3175479355047348</v>
      </c>
      <c r="AB30" s="118">
        <v>1.3175479355047348</v>
      </c>
      <c r="AD30" s="143">
        <f t="shared" si="11"/>
        <v>1.009668420210549</v>
      </c>
      <c r="AE30" s="143">
        <f t="shared" si="12"/>
        <v>1.0197099129080955</v>
      </c>
      <c r="AF30" s="143">
        <f t="shared" si="13"/>
        <v>1.0301992352422502</v>
      </c>
    </row>
    <row r="31" spans="1:32" s="90" customFormat="1" ht="15.75" x14ac:dyDescent="0.25">
      <c r="A31" s="144">
        <v>43</v>
      </c>
      <c r="B31" s="116">
        <f>'337-Adj'!C32</f>
        <v>12.247458722066353</v>
      </c>
      <c r="C31" s="116">
        <f>'337-Adj'!D32</f>
        <v>12.365872299502644</v>
      </c>
      <c r="D31" s="116">
        <f t="shared" si="2"/>
        <v>12.306665510784498</v>
      </c>
      <c r="E31" s="117">
        <f t="shared" si="14"/>
        <v>0.587138999336559</v>
      </c>
      <c r="F31" s="117">
        <f t="shared" si="15"/>
        <v>0.5928157059041459</v>
      </c>
      <c r="G31" s="116">
        <f t="shared" si="3"/>
        <v>0.58997735262035245</v>
      </c>
      <c r="H31" s="117">
        <f t="shared" si="16"/>
        <v>1.2919433921215786</v>
      </c>
      <c r="I31" s="117">
        <f t="shared" si="17"/>
        <v>1.2919433921215786</v>
      </c>
      <c r="J31" s="117">
        <f>'337-Adj'!H31</f>
        <v>1.2919433921215786</v>
      </c>
      <c r="K31" s="66">
        <f t="shared" si="0"/>
        <v>11.986013091254955</v>
      </c>
      <c r="L31" s="66">
        <f t="shared" si="1"/>
        <v>12.222256365398884</v>
      </c>
      <c r="M31" s="66">
        <f t="shared" si="4"/>
        <v>12.104134728326919</v>
      </c>
      <c r="N31" s="69">
        <f t="shared" si="18"/>
        <v>0.58374042794247494</v>
      </c>
      <c r="O31" s="69">
        <f t="shared" si="19"/>
        <v>0.59534172134968277</v>
      </c>
      <c r="P31" s="123">
        <f t="shared" si="5"/>
        <v>0.58954107464607886</v>
      </c>
      <c r="Q31" s="69">
        <f t="shared" si="6"/>
        <v>1.3129406369248289</v>
      </c>
      <c r="R31" s="69">
        <f t="shared" si="7"/>
        <v>1.3129406369248289</v>
      </c>
      <c r="S31" s="123">
        <f t="shared" si="8"/>
        <v>1.3129406369248289</v>
      </c>
      <c r="T31" s="119">
        <f>'337-Adj'!L32</f>
        <v>11.724567460443557</v>
      </c>
      <c r="U31" s="119">
        <f>'337-Adj'!M32</f>
        <v>12.078640431295124</v>
      </c>
      <c r="V31" s="119">
        <f t="shared" si="9"/>
        <v>11.90160394586934</v>
      </c>
      <c r="W31" s="118">
        <f t="shared" si="20"/>
        <v>0.58034185654839077</v>
      </c>
      <c r="X31" s="118">
        <f t="shared" si="21"/>
        <v>0.59786773679521976</v>
      </c>
      <c r="Y31" s="118">
        <f t="shared" si="22"/>
        <v>0.58910479667180526</v>
      </c>
      <c r="Z31" s="118">
        <f t="shared" si="23"/>
        <v>1.3339378817280791</v>
      </c>
      <c r="AA31" s="118">
        <f t="shared" si="24"/>
        <v>1.3339378817280791</v>
      </c>
      <c r="AB31" s="118">
        <v>1.3339378817280791</v>
      </c>
      <c r="AD31" s="143">
        <f t="shared" si="11"/>
        <v>1.009668420210549</v>
      </c>
      <c r="AE31" s="143">
        <f t="shared" si="12"/>
        <v>1.0197099129080955</v>
      </c>
      <c r="AF31" s="143">
        <f t="shared" si="13"/>
        <v>1.0301992352422502</v>
      </c>
    </row>
    <row r="32" spans="1:32" s="90" customFormat="1" ht="15.75" x14ac:dyDescent="0.25">
      <c r="A32" s="144">
        <v>44</v>
      </c>
      <c r="B32" s="116">
        <f>'337-Adj'!C33</f>
        <v>12.712096747258519</v>
      </c>
      <c r="C32" s="116">
        <f>'337-Adj'!D33</f>
        <v>12.835002640368169</v>
      </c>
      <c r="D32" s="116">
        <f t="shared" si="2"/>
        <v>12.773549693813344</v>
      </c>
      <c r="E32" s="117">
        <f t="shared" si="14"/>
        <v>0.60705420306783342</v>
      </c>
      <c r="F32" s="117">
        <f t="shared" si="15"/>
        <v>0.61292345819367444</v>
      </c>
      <c r="G32" s="116">
        <f t="shared" si="3"/>
        <v>0.60998883063075393</v>
      </c>
      <c r="H32" s="117">
        <f t="shared" si="16"/>
        <v>1.3065099500127377</v>
      </c>
      <c r="I32" s="117">
        <f t="shared" si="17"/>
        <v>1.3065099500127377</v>
      </c>
      <c r="J32" s="117">
        <f>'337-Adj'!H32</f>
        <v>1.3065099500127377</v>
      </c>
      <c r="K32" s="66">
        <f t="shared" si="0"/>
        <v>12.440732521549027</v>
      </c>
      <c r="L32" s="66">
        <f t="shared" si="1"/>
        <v>12.68593827606167</v>
      </c>
      <c r="M32" s="66">
        <f t="shared" si="4"/>
        <v>12.563335398805348</v>
      </c>
      <c r="N32" s="69">
        <f t="shared" si="18"/>
        <v>0.60354035532218031</v>
      </c>
      <c r="O32" s="69">
        <f t="shared" si="19"/>
        <v>0.61553515371204481</v>
      </c>
      <c r="P32" s="123">
        <f t="shared" si="5"/>
        <v>0.60953775451711256</v>
      </c>
      <c r="Q32" s="69">
        <f t="shared" si="6"/>
        <v>1.3277439370632469</v>
      </c>
      <c r="R32" s="69">
        <f t="shared" si="7"/>
        <v>1.3277439370632469</v>
      </c>
      <c r="S32" s="123">
        <f t="shared" si="8"/>
        <v>1.3277439370632469</v>
      </c>
      <c r="T32" s="119">
        <f>'337-Adj'!L33</f>
        <v>12.169368295839533</v>
      </c>
      <c r="U32" s="119">
        <f>'337-Adj'!M33</f>
        <v>12.536873911755171</v>
      </c>
      <c r="V32" s="119">
        <f t="shared" si="9"/>
        <v>12.353121103797353</v>
      </c>
      <c r="W32" s="118">
        <f t="shared" si="20"/>
        <v>0.60002650757652731</v>
      </c>
      <c r="X32" s="118">
        <f t="shared" si="21"/>
        <v>0.61814684923041519</v>
      </c>
      <c r="Y32" s="118">
        <f t="shared" si="22"/>
        <v>0.60908667840347119</v>
      </c>
      <c r="Z32" s="118">
        <f t="shared" si="23"/>
        <v>1.3489779241137558</v>
      </c>
      <c r="AA32" s="118">
        <f t="shared" si="24"/>
        <v>1.3489779241137558</v>
      </c>
      <c r="AB32" s="118">
        <v>1.3489779241137558</v>
      </c>
      <c r="AD32" s="143">
        <f t="shared" si="11"/>
        <v>1.009668420210549</v>
      </c>
      <c r="AE32" s="143">
        <f t="shared" si="12"/>
        <v>1.0197099129080955</v>
      </c>
      <c r="AF32" s="143">
        <f t="shared" si="13"/>
        <v>1.03019923524225</v>
      </c>
    </row>
    <row r="33" spans="1:32" s="90" customFormat="1" ht="15.75" x14ac:dyDescent="0.25">
      <c r="A33" s="144">
        <v>45</v>
      </c>
      <c r="B33" s="116">
        <f>'337-Adj'!C34</f>
        <v>13.187138797200186</v>
      </c>
      <c r="C33" s="116">
        <f>'337-Adj'!D34</f>
        <v>13.314637596466351</v>
      </c>
      <c r="D33" s="116">
        <f t="shared" si="2"/>
        <v>13.250888196833269</v>
      </c>
      <c r="E33" s="117">
        <f t="shared" si="14"/>
        <v>0.62696940679911439</v>
      </c>
      <c r="F33" s="117">
        <f t="shared" si="15"/>
        <v>0.63303121048320565</v>
      </c>
      <c r="G33" s="116">
        <f t="shared" si="3"/>
        <v>0.63000030864116008</v>
      </c>
      <c r="H33" s="117">
        <f t="shared" si="16"/>
        <v>1.3198187547315092</v>
      </c>
      <c r="I33" s="117">
        <f t="shared" si="17"/>
        <v>1.3198187547315092</v>
      </c>
      <c r="J33" s="117">
        <f>'337-Adj'!H33</f>
        <v>1.3198187547315092</v>
      </c>
      <c r="K33" s="66">
        <f t="shared" si="0"/>
        <v>12.905633882615769</v>
      </c>
      <c r="L33" s="66">
        <f t="shared" si="1"/>
        <v>13.160002802465893</v>
      </c>
      <c r="M33" s="66">
        <f t="shared" si="4"/>
        <v>13.032818342540832</v>
      </c>
      <c r="N33" s="69">
        <f t="shared" si="18"/>
        <v>0.62334028270188802</v>
      </c>
      <c r="O33" s="69">
        <f t="shared" si="19"/>
        <v>0.63572858607440907</v>
      </c>
      <c r="P33" s="123">
        <f t="shared" si="5"/>
        <v>0.6295344343881486</v>
      </c>
      <c r="Q33" s="69">
        <f t="shared" si="6"/>
        <v>1.3412690424592943</v>
      </c>
      <c r="R33" s="69">
        <f t="shared" si="7"/>
        <v>1.3412690424592943</v>
      </c>
      <c r="S33" s="123">
        <f t="shared" si="8"/>
        <v>1.3412690424592943</v>
      </c>
      <c r="T33" s="119">
        <f>'337-Adj'!L34</f>
        <v>12.624128968031352</v>
      </c>
      <c r="U33" s="119">
        <f>'337-Adj'!M34</f>
        <v>13.005368008465435</v>
      </c>
      <c r="V33" s="119">
        <f t="shared" si="9"/>
        <v>12.814748488248394</v>
      </c>
      <c r="W33" s="118">
        <f t="shared" si="20"/>
        <v>0.61971115860466164</v>
      </c>
      <c r="X33" s="118">
        <f t="shared" si="21"/>
        <v>0.6384259616656125</v>
      </c>
      <c r="Y33" s="118">
        <f t="shared" si="22"/>
        <v>0.62906856013513712</v>
      </c>
      <c r="Z33" s="118">
        <f t="shared" si="23"/>
        <v>1.3627193301870797</v>
      </c>
      <c r="AA33" s="118">
        <f t="shared" si="24"/>
        <v>1.3627193301870797</v>
      </c>
      <c r="AB33" s="118">
        <v>1.3627193301870797</v>
      </c>
      <c r="AD33" s="143">
        <f t="shared" si="11"/>
        <v>1.009668420210549</v>
      </c>
      <c r="AE33" s="143">
        <f t="shared" si="12"/>
        <v>1.0197099129080955</v>
      </c>
      <c r="AF33" s="143">
        <f t="shared" si="13"/>
        <v>1.0301992352422502</v>
      </c>
    </row>
    <row r="34" spans="1:32" s="90" customFormat="1" ht="15.75" x14ac:dyDescent="0.25">
      <c r="A34" s="144">
        <v>46</v>
      </c>
      <c r="B34" s="116">
        <f>'337-Adj'!C35</f>
        <v>13.672817835456788</v>
      </c>
      <c r="C34" s="116">
        <f>'337-Adj'!D35</f>
        <v>13.805012383752274</v>
      </c>
      <c r="D34" s="116">
        <f t="shared" si="2"/>
        <v>13.73891510960453</v>
      </c>
      <c r="E34" s="117">
        <f t="shared" si="14"/>
        <v>0.64688461053038759</v>
      </c>
      <c r="F34" s="117">
        <f t="shared" si="15"/>
        <v>0.65313896277273287</v>
      </c>
      <c r="G34" s="116">
        <f t="shared" si="3"/>
        <v>0.65001178665156023</v>
      </c>
      <c r="H34" s="117">
        <f t="shared" si="16"/>
        <v>1.3319179119865867</v>
      </c>
      <c r="I34" s="117">
        <f t="shared" si="17"/>
        <v>1.3319179119865867</v>
      </c>
      <c r="J34" s="117">
        <f>'337-Adj'!H34</f>
        <v>1.3319179119865867</v>
      </c>
      <c r="K34" s="66">
        <f t="shared" si="0"/>
        <v>13.380945164963949</v>
      </c>
      <c r="L34" s="66">
        <f t="shared" si="1"/>
        <v>13.644682428793391</v>
      </c>
      <c r="M34" s="66">
        <f t="shared" si="4"/>
        <v>13.512813796878671</v>
      </c>
      <c r="N34" s="69">
        <f t="shared" si="18"/>
        <v>0.64314021008159261</v>
      </c>
      <c r="O34" s="69">
        <f t="shared" si="19"/>
        <v>0.65592201843677045</v>
      </c>
      <c r="P34" s="123">
        <f t="shared" si="5"/>
        <v>0.64953111425918153</v>
      </c>
      <c r="Q34" s="69">
        <f t="shared" si="6"/>
        <v>1.3535648406572709</v>
      </c>
      <c r="R34" s="69">
        <f t="shared" si="7"/>
        <v>1.3535648406572709</v>
      </c>
      <c r="S34" s="123">
        <f t="shared" si="8"/>
        <v>1.3535648406572709</v>
      </c>
      <c r="T34" s="119">
        <f>'337-Adj'!L35</f>
        <v>13.089072494471109</v>
      </c>
      <c r="U34" s="119">
        <f>'337-Adj'!M35</f>
        <v>13.484352473834509</v>
      </c>
      <c r="V34" s="119">
        <f t="shared" si="9"/>
        <v>13.286712484152808</v>
      </c>
      <c r="W34" s="118">
        <f t="shared" si="20"/>
        <v>0.63939580963279763</v>
      </c>
      <c r="X34" s="118">
        <f t="shared" si="21"/>
        <v>0.65870507410080814</v>
      </c>
      <c r="Y34" s="118">
        <f t="shared" si="22"/>
        <v>0.64905044186680283</v>
      </c>
      <c r="Z34" s="118">
        <f t="shared" si="23"/>
        <v>1.3752117693279549</v>
      </c>
      <c r="AA34" s="118">
        <f t="shared" si="24"/>
        <v>1.3752117693279549</v>
      </c>
      <c r="AB34" s="118">
        <v>1.3752117693279549</v>
      </c>
      <c r="AD34" s="143">
        <f t="shared" si="11"/>
        <v>1.009668420210549</v>
      </c>
      <c r="AE34" s="143">
        <f t="shared" si="12"/>
        <v>1.0197099129080955</v>
      </c>
      <c r="AF34" s="143">
        <f t="shared" si="13"/>
        <v>1.0301992352422502</v>
      </c>
    </row>
    <row r="35" spans="1:32" s="90" customFormat="1" ht="15.75" x14ac:dyDescent="0.25">
      <c r="A35" s="144">
        <v>47</v>
      </c>
      <c r="B35" s="116">
        <f>'337-Adj'!C36</f>
        <v>14.169372042038768</v>
      </c>
      <c r="C35" s="116">
        <f>'337-Adj'!D36</f>
        <v>14.306367485060804</v>
      </c>
      <c r="D35" s="116">
        <f t="shared" si="2"/>
        <v>14.237869763549785</v>
      </c>
      <c r="E35" s="117">
        <f t="shared" si="14"/>
        <v>0.66978709482135923</v>
      </c>
      <c r="F35" s="117">
        <f t="shared" si="15"/>
        <v>0.67626287790569461</v>
      </c>
      <c r="G35" s="116">
        <f t="shared" si="3"/>
        <v>0.67302498636352692</v>
      </c>
      <c r="H35" s="117">
        <f t="shared" si="16"/>
        <v>1.3488700446862074</v>
      </c>
      <c r="I35" s="117">
        <f t="shared" si="17"/>
        <v>1.3488700446862074</v>
      </c>
      <c r="J35" s="117">
        <f>'337-Adj'!H35</f>
        <v>1.3488700446862074</v>
      </c>
      <c r="K35" s="66">
        <f t="shared" si="0"/>
        <v>13.866899464192251</v>
      </c>
      <c r="L35" s="66">
        <f t="shared" si="1"/>
        <v>14.140214844936798</v>
      </c>
      <c r="M35" s="66">
        <f t="shared" si="4"/>
        <v>14.003557154564525</v>
      </c>
      <c r="N35" s="69">
        <f t="shared" si="18"/>
        <v>0.6659101265682571</v>
      </c>
      <c r="O35" s="69">
        <f t="shared" si="19"/>
        <v>0.67914446565348841</v>
      </c>
      <c r="P35" s="123">
        <f t="shared" si="5"/>
        <v>0.67252729611087281</v>
      </c>
      <c r="Q35" s="69">
        <f t="shared" si="6"/>
        <v>1.3707924870383754</v>
      </c>
      <c r="R35" s="69">
        <f t="shared" si="7"/>
        <v>1.3707924870383754</v>
      </c>
      <c r="S35" s="123">
        <f t="shared" si="8"/>
        <v>1.3707924870383754</v>
      </c>
      <c r="T35" s="119">
        <f>'337-Adj'!L36</f>
        <v>13.564426886345736</v>
      </c>
      <c r="U35" s="119">
        <f>'337-Adj'!M36</f>
        <v>13.974062204812792</v>
      </c>
      <c r="V35" s="119">
        <f t="shared" si="9"/>
        <v>13.769244545579264</v>
      </c>
      <c r="W35" s="118">
        <f t="shared" si="20"/>
        <v>0.66203315831515497</v>
      </c>
      <c r="X35" s="118">
        <f t="shared" si="21"/>
        <v>0.68202605340128231</v>
      </c>
      <c r="Y35" s="118">
        <f t="shared" si="22"/>
        <v>0.67202960585821869</v>
      </c>
      <c r="Z35" s="118">
        <f t="shared" si="23"/>
        <v>1.3927149293905434</v>
      </c>
      <c r="AA35" s="118">
        <f t="shared" si="24"/>
        <v>1.3927149293905434</v>
      </c>
      <c r="AB35" s="118">
        <v>1.3927149293905434</v>
      </c>
      <c r="AD35" s="143">
        <f t="shared" si="11"/>
        <v>1.009668420210549</v>
      </c>
      <c r="AE35" s="143">
        <f t="shared" si="12"/>
        <v>1.0197099129080955</v>
      </c>
      <c r="AF35" s="143">
        <f t="shared" si="13"/>
        <v>1.03019923524225</v>
      </c>
    </row>
    <row r="36" spans="1:32" s="90" customFormat="1" ht="15.75" x14ac:dyDescent="0.25">
      <c r="A36" s="144">
        <v>48</v>
      </c>
      <c r="B36" s="116">
        <f>'337-Adj'!C37</f>
        <v>14.677044930206504</v>
      </c>
      <c r="C36" s="116">
        <f>'337-Adj'!D37</f>
        <v>14.818948768040848</v>
      </c>
      <c r="D36" s="116">
        <f t="shared" si="2"/>
        <v>14.747996849123677</v>
      </c>
      <c r="E36" s="117">
        <f t="shared" si="14"/>
        <v>0.69268957911233109</v>
      </c>
      <c r="F36" s="117">
        <f t="shared" si="15"/>
        <v>0.69938679303865603</v>
      </c>
      <c r="G36" s="116">
        <f t="shared" si="3"/>
        <v>0.69603818607549361</v>
      </c>
      <c r="H36" s="117">
        <f t="shared" si="16"/>
        <v>1.3644407555667324</v>
      </c>
      <c r="I36" s="117">
        <f t="shared" si="17"/>
        <v>1.3644407555667324</v>
      </c>
      <c r="J36" s="117">
        <f>'337-Adj'!H36</f>
        <v>1.3644407555667324</v>
      </c>
      <c r="K36" s="66">
        <f t="shared" si="0"/>
        <v>14.363735095300797</v>
      </c>
      <c r="L36" s="66">
        <f t="shared" si="1"/>
        <v>14.646843063064132</v>
      </c>
      <c r="M36" s="66">
        <f t="shared" si="4"/>
        <v>14.505289079182464</v>
      </c>
      <c r="N36" s="69">
        <f t="shared" si="18"/>
        <v>0.6886800430549207</v>
      </c>
      <c r="O36" s="69">
        <f t="shared" si="19"/>
        <v>0.70236691287020714</v>
      </c>
      <c r="P36" s="123">
        <f t="shared" si="5"/>
        <v>0.69552347796256386</v>
      </c>
      <c r="Q36" s="69">
        <f t="shared" si="6"/>
        <v>1.3866162601119549</v>
      </c>
      <c r="R36" s="69">
        <f t="shared" si="7"/>
        <v>1.3866162601119549</v>
      </c>
      <c r="S36" s="123">
        <f t="shared" si="8"/>
        <v>1.3866162601119549</v>
      </c>
      <c r="T36" s="119">
        <f>'337-Adj'!L37</f>
        <v>14.050425260395091</v>
      </c>
      <c r="U36" s="119">
        <f>'337-Adj'!M37</f>
        <v>14.474737358087415</v>
      </c>
      <c r="V36" s="119">
        <f t="shared" si="9"/>
        <v>14.262581309241252</v>
      </c>
      <c r="W36" s="118">
        <f t="shared" si="20"/>
        <v>0.68467050699751042</v>
      </c>
      <c r="X36" s="118">
        <f t="shared" si="21"/>
        <v>0.70534703270175825</v>
      </c>
      <c r="Y36" s="118">
        <f t="shared" si="22"/>
        <v>0.69500876984963433</v>
      </c>
      <c r="Z36" s="118">
        <f t="shared" si="23"/>
        <v>1.4087917646571775</v>
      </c>
      <c r="AA36" s="118">
        <f t="shared" si="24"/>
        <v>1.4087917646571775</v>
      </c>
      <c r="AB36" s="118">
        <v>1.4087917646571775</v>
      </c>
      <c r="AD36" s="143">
        <f t="shared" si="11"/>
        <v>1.009668420210549</v>
      </c>
      <c r="AE36" s="143">
        <f t="shared" si="12"/>
        <v>1.0197099129080955</v>
      </c>
      <c r="AF36" s="143">
        <f t="shared" si="13"/>
        <v>1.03019923524225</v>
      </c>
    </row>
    <row r="37" spans="1:32" s="90" customFormat="1" ht="15.75" x14ac:dyDescent="0.25">
      <c r="A37" s="144">
        <v>49</v>
      </c>
      <c r="B37" s="116">
        <f>'337-Adj'!C38</f>
        <v>15.196085465890738</v>
      </c>
      <c r="C37" s="116">
        <f>'337-Adj'!D38</f>
        <v>15.343007605730385</v>
      </c>
      <c r="D37" s="116">
        <f t="shared" si="2"/>
        <v>15.269546535810562</v>
      </c>
      <c r="E37" s="117">
        <f t="shared" si="14"/>
        <v>0.71559206340329673</v>
      </c>
      <c r="F37" s="117">
        <f t="shared" si="15"/>
        <v>0.72251070817161422</v>
      </c>
      <c r="G37" s="116">
        <f t="shared" si="3"/>
        <v>0.71905138578745542</v>
      </c>
      <c r="H37" s="117">
        <f t="shared" si="16"/>
        <v>1.3786824230596098</v>
      </c>
      <c r="I37" s="117">
        <f t="shared" si="17"/>
        <v>1.3786824230596098</v>
      </c>
      <c r="J37" s="117">
        <f>'337-Adj'!H37</f>
        <v>1.3786824230596098</v>
      </c>
      <c r="K37" s="66">
        <f t="shared" si="0"/>
        <v>14.871695709562299</v>
      </c>
      <c r="L37" s="66">
        <f t="shared" si="1"/>
        <v>15.164815536793469</v>
      </c>
      <c r="M37" s="66">
        <f t="shared" si="4"/>
        <v>15.018255623177884</v>
      </c>
      <c r="N37" s="69">
        <f t="shared" si="18"/>
        <v>0.71144995954158097</v>
      </c>
      <c r="O37" s="69">
        <f t="shared" si="19"/>
        <v>0.72558936008692454</v>
      </c>
      <c r="P37" s="123">
        <f t="shared" si="5"/>
        <v>0.7185196598142527</v>
      </c>
      <c r="Q37" s="69">
        <f t="shared" si="6"/>
        <v>1.4010893895872862</v>
      </c>
      <c r="R37" s="69">
        <f t="shared" si="7"/>
        <v>1.4010893895872862</v>
      </c>
      <c r="S37" s="123">
        <f t="shared" si="8"/>
        <v>1.4010893895872862</v>
      </c>
      <c r="T37" s="119">
        <f>'337-Adj'!L38</f>
        <v>14.54730595323386</v>
      </c>
      <c r="U37" s="119">
        <f>'337-Adj'!M38</f>
        <v>14.986623467856555</v>
      </c>
      <c r="V37" s="119">
        <f t="shared" si="9"/>
        <v>14.766964710545206</v>
      </c>
      <c r="W37" s="118">
        <f t="shared" si="20"/>
        <v>0.70730785567986521</v>
      </c>
      <c r="X37" s="118">
        <f t="shared" si="21"/>
        <v>0.72866801200223486</v>
      </c>
      <c r="Y37" s="118">
        <f t="shared" si="22"/>
        <v>0.71798793384104997</v>
      </c>
      <c r="Z37" s="118">
        <f t="shared" si="23"/>
        <v>1.4234963561149629</v>
      </c>
      <c r="AA37" s="118">
        <f t="shared" si="24"/>
        <v>1.4234963561149629</v>
      </c>
      <c r="AB37" s="118">
        <v>1.4234963561149629</v>
      </c>
      <c r="AD37" s="143">
        <f t="shared" si="11"/>
        <v>1.009668420210549</v>
      </c>
      <c r="AE37" s="143">
        <f t="shared" si="12"/>
        <v>1.0197099129080955</v>
      </c>
      <c r="AF37" s="143">
        <f t="shared" si="13"/>
        <v>1.0301992352422502</v>
      </c>
    </row>
    <row r="38" spans="1:32" s="90" customFormat="1" ht="15.75" x14ac:dyDescent="0.25">
      <c r="A38" s="144">
        <v>50</v>
      </c>
      <c r="B38" s="116">
        <f>'337-Adj'!C39</f>
        <v>15.726748189787006</v>
      </c>
      <c r="C38" s="116">
        <f>'337-Adj'!D39</f>
        <v>15.878800999831359</v>
      </c>
      <c r="D38" s="116">
        <f t="shared" si="2"/>
        <v>15.802774594809183</v>
      </c>
      <c r="E38" s="117">
        <f t="shared" si="14"/>
        <v>0.73849454769426359</v>
      </c>
      <c r="F38" s="117">
        <f t="shared" si="15"/>
        <v>0.74563462330457342</v>
      </c>
      <c r="G38" s="116">
        <f t="shared" si="3"/>
        <v>0.74206458549941856</v>
      </c>
      <c r="H38" s="117">
        <f t="shared" si="16"/>
        <v>1.3916457939084881</v>
      </c>
      <c r="I38" s="117">
        <f t="shared" si="17"/>
        <v>1.3916457939084881</v>
      </c>
      <c r="J38" s="117">
        <f>'337-Adj'!H38</f>
        <v>1.3916457939084881</v>
      </c>
      <c r="K38" s="66">
        <f t="shared" si="0"/>
        <v>15.391030414010158</v>
      </c>
      <c r="L38" s="66">
        <f t="shared" si="1"/>
        <v>15.694386283036149</v>
      </c>
      <c r="M38" s="66">
        <f t="shared" si="4"/>
        <v>15.542708348523153</v>
      </c>
      <c r="N38" s="69">
        <f t="shared" si="18"/>
        <v>0.73421987602824279</v>
      </c>
      <c r="O38" s="69">
        <f t="shared" si="19"/>
        <v>0.74881180730364161</v>
      </c>
      <c r="P38" s="123">
        <f t="shared" si="5"/>
        <v>0.7415158416659422</v>
      </c>
      <c r="Q38" s="69">
        <f t="shared" si="6"/>
        <v>1.4142634469668991</v>
      </c>
      <c r="R38" s="69">
        <f t="shared" si="7"/>
        <v>1.4142634469668991</v>
      </c>
      <c r="S38" s="123">
        <f t="shared" si="8"/>
        <v>1.4142634469668991</v>
      </c>
      <c r="T38" s="119">
        <f>'337-Adj'!L39</f>
        <v>15.05531263823331</v>
      </c>
      <c r="U38" s="119">
        <f>'337-Adj'!M39</f>
        <v>15.509971566240941</v>
      </c>
      <c r="V38" s="119">
        <f t="shared" si="9"/>
        <v>15.282642102237126</v>
      </c>
      <c r="W38" s="118">
        <f t="shared" si="20"/>
        <v>0.7299452043622221</v>
      </c>
      <c r="X38" s="118">
        <f t="shared" si="21"/>
        <v>0.75198899130270991</v>
      </c>
      <c r="Y38" s="118">
        <f t="shared" si="22"/>
        <v>0.74096709783246606</v>
      </c>
      <c r="Z38" s="118">
        <f t="shared" si="23"/>
        <v>1.4368811000253099</v>
      </c>
      <c r="AA38" s="118">
        <f t="shared" si="24"/>
        <v>1.4368811000253099</v>
      </c>
      <c r="AB38" s="118">
        <v>1.4368811000253099</v>
      </c>
      <c r="AD38" s="143">
        <f t="shared" si="11"/>
        <v>1.009668420210549</v>
      </c>
      <c r="AE38" s="143">
        <f t="shared" si="12"/>
        <v>1.0197099129080955</v>
      </c>
      <c r="AF38" s="143">
        <f t="shared" si="13"/>
        <v>1.0301992352422502</v>
      </c>
    </row>
    <row r="39" spans="1:32" s="90" customFormat="1" ht="15.75" x14ac:dyDescent="0.25">
      <c r="A39" s="144">
        <v>51</v>
      </c>
      <c r="B39" s="116">
        <f>'337-Adj'!C40</f>
        <v>16.269293342183975</v>
      </c>
      <c r="C39" s="116">
        <f>'337-Adj'!D40</f>
        <v>16.426591706744897</v>
      </c>
      <c r="D39" s="116">
        <f t="shared" si="2"/>
        <v>16.347942524464436</v>
      </c>
      <c r="E39" s="117">
        <f t="shared" si="14"/>
        <v>0.76139703198523268</v>
      </c>
      <c r="F39" s="117">
        <f t="shared" si="15"/>
        <v>0.76875853843753039</v>
      </c>
      <c r="G39" s="116">
        <f t="shared" si="3"/>
        <v>0.76507778521138148</v>
      </c>
      <c r="H39" s="117">
        <f t="shared" si="16"/>
        <v>1.4033800295171288</v>
      </c>
      <c r="I39" s="117">
        <f t="shared" si="17"/>
        <v>1.4033800295171288</v>
      </c>
      <c r="J39" s="117">
        <f>'337-Adj'!H39</f>
        <v>1.4033800295171288</v>
      </c>
      <c r="K39" s="66">
        <f t="shared" si="0"/>
        <v>15.921993893602096</v>
      </c>
      <c r="L39" s="66">
        <f t="shared" si="1"/>
        <v>16.235815006568224</v>
      </c>
      <c r="M39" s="66">
        <f t="shared" si="4"/>
        <v>16.078904450085162</v>
      </c>
      <c r="N39" s="69">
        <f t="shared" si="18"/>
        <v>0.75698979251490606</v>
      </c>
      <c r="O39" s="69">
        <f t="shared" si="19"/>
        <v>0.77203425452035712</v>
      </c>
      <c r="P39" s="123">
        <f t="shared" si="5"/>
        <v>0.76451202351763159</v>
      </c>
      <c r="Q39" s="69">
        <f t="shared" si="6"/>
        <v>1.4261883926477887</v>
      </c>
      <c r="R39" s="69">
        <f t="shared" si="7"/>
        <v>1.4261883926477887</v>
      </c>
      <c r="S39" s="123">
        <f t="shared" si="8"/>
        <v>1.4261883926477887</v>
      </c>
      <c r="T39" s="119">
        <f>'337-Adj'!L40</f>
        <v>15.574694445020219</v>
      </c>
      <c r="U39" s="119">
        <f>'337-Adj'!M40</f>
        <v>16.04503830639155</v>
      </c>
      <c r="V39" s="119">
        <f t="shared" si="9"/>
        <v>15.809866375705884</v>
      </c>
      <c r="W39" s="118">
        <f t="shared" si="20"/>
        <v>0.75258255304457955</v>
      </c>
      <c r="X39" s="118">
        <f t="shared" si="21"/>
        <v>0.77530997060318385</v>
      </c>
      <c r="Y39" s="118">
        <f t="shared" si="22"/>
        <v>0.7639462618238817</v>
      </c>
      <c r="Z39" s="118">
        <f t="shared" si="23"/>
        <v>1.4489967557784489</v>
      </c>
      <c r="AA39" s="118">
        <f t="shared" si="24"/>
        <v>1.4489967557784489</v>
      </c>
      <c r="AB39" s="118">
        <v>1.4489967557784489</v>
      </c>
      <c r="AD39" s="143">
        <f t="shared" si="11"/>
        <v>1.009668420210549</v>
      </c>
      <c r="AE39" s="143">
        <f t="shared" si="12"/>
        <v>1.0197099129080955</v>
      </c>
      <c r="AF39" s="143">
        <f t="shared" si="13"/>
        <v>1.03019923524225</v>
      </c>
    </row>
    <row r="40" spans="1:32" s="90" customFormat="1" ht="15.75" x14ac:dyDescent="0.25">
      <c r="A40" s="144">
        <v>52</v>
      </c>
      <c r="B40" s="116">
        <f>'337-Adj'!C41</f>
        <v>16.823986990586896</v>
      </c>
      <c r="C40" s="116">
        <f>'337-Adj'!D41</f>
        <v>16.9866483664287</v>
      </c>
      <c r="D40" s="116">
        <f t="shared" si="2"/>
        <v>16.905317678507799</v>
      </c>
      <c r="E40" s="117">
        <f t="shared" si="14"/>
        <v>0.7842995162762072</v>
      </c>
      <c r="F40" s="117">
        <f t="shared" si="15"/>
        <v>0.79188245357049469</v>
      </c>
      <c r="G40" s="116">
        <f t="shared" si="3"/>
        <v>0.78809098492335095</v>
      </c>
      <c r="H40" s="117">
        <f t="shared" si="16"/>
        <v>1.4139327510498263</v>
      </c>
      <c r="I40" s="117">
        <f t="shared" si="17"/>
        <v>1.4139327510498263</v>
      </c>
      <c r="J40" s="117">
        <f>'337-Adj'!H40</f>
        <v>1.4139327510498263</v>
      </c>
      <c r="K40" s="66">
        <f t="shared" si="0"/>
        <v>16.464846536119239</v>
      </c>
      <c r="L40" s="66">
        <f t="shared" si="1"/>
        <v>16.78936722739131</v>
      </c>
      <c r="M40" s="66">
        <f t="shared" si="4"/>
        <v>16.627106881755275</v>
      </c>
      <c r="N40" s="69">
        <f t="shared" si="18"/>
        <v>0.7797597090015711</v>
      </c>
      <c r="O40" s="69">
        <f t="shared" si="19"/>
        <v>0.79525670173707719</v>
      </c>
      <c r="P40" s="123">
        <f t="shared" si="5"/>
        <v>0.78750820536932409</v>
      </c>
      <c r="Q40" s="69">
        <f t="shared" si="6"/>
        <v>1.4369126217548229</v>
      </c>
      <c r="R40" s="69">
        <f t="shared" si="7"/>
        <v>1.4369126217548229</v>
      </c>
      <c r="S40" s="123">
        <f t="shared" si="8"/>
        <v>1.4369126217548229</v>
      </c>
      <c r="T40" s="119">
        <f>'337-Adj'!L41</f>
        <v>16.105706081651586</v>
      </c>
      <c r="U40" s="119">
        <f>'337-Adj'!M41</f>
        <v>16.59208608835392</v>
      </c>
      <c r="V40" s="119">
        <f t="shared" si="9"/>
        <v>16.348896085002753</v>
      </c>
      <c r="W40" s="118">
        <f t="shared" si="20"/>
        <v>0.77521990172693511</v>
      </c>
      <c r="X40" s="118">
        <f t="shared" si="21"/>
        <v>0.79863094990365968</v>
      </c>
      <c r="Y40" s="118">
        <f t="shared" si="22"/>
        <v>0.78692542581529734</v>
      </c>
      <c r="Z40" s="118">
        <f t="shared" si="23"/>
        <v>1.4598924924598196</v>
      </c>
      <c r="AA40" s="118">
        <f t="shared" si="24"/>
        <v>1.4598924924598196</v>
      </c>
      <c r="AB40" s="118">
        <v>1.4598924924598196</v>
      </c>
      <c r="AD40" s="143">
        <f t="shared" si="11"/>
        <v>1.009668420210549</v>
      </c>
      <c r="AE40" s="143">
        <f t="shared" si="12"/>
        <v>1.0197099129080955</v>
      </c>
      <c r="AF40" s="143">
        <f t="shared" si="13"/>
        <v>1.03019923524225</v>
      </c>
    </row>
    <row r="41" spans="1:32" s="90" customFormat="1" ht="15.75" x14ac:dyDescent="0.25">
      <c r="A41" s="144">
        <v>53</v>
      </c>
      <c r="B41" s="116">
        <f>'337-Adj'!C42</f>
        <v>17.391101160198737</v>
      </c>
      <c r="C41" s="116">
        <f>'337-Adj'!D42</f>
        <v>17.559245634139707</v>
      </c>
      <c r="D41" s="116">
        <f t="shared" si="2"/>
        <v>17.475173397169222</v>
      </c>
      <c r="E41" s="117">
        <f t="shared" si="14"/>
        <v>0.80720200056717395</v>
      </c>
      <c r="F41" s="117">
        <f t="shared" si="15"/>
        <v>0.81500636870345633</v>
      </c>
      <c r="G41" s="116">
        <f t="shared" si="3"/>
        <v>0.81110418463531508</v>
      </c>
      <c r="H41" s="117">
        <f t="shared" si="16"/>
        <v>1.4233500833168389</v>
      </c>
      <c r="I41" s="117">
        <f t="shared" si="17"/>
        <v>1.4233500833168389</v>
      </c>
      <c r="J41" s="117">
        <f>'337-Adj'!H41</f>
        <v>1.4233500833168389</v>
      </c>
      <c r="K41" s="66">
        <f t="shared" si="0"/>
        <v>17.019854559861891</v>
      </c>
      <c r="L41" s="66">
        <f t="shared" si="1"/>
        <v>17.355314410945223</v>
      </c>
      <c r="M41" s="66">
        <f t="shared" si="4"/>
        <v>17.187584485403555</v>
      </c>
      <c r="N41" s="69">
        <f t="shared" si="18"/>
        <v>0.80252962548823192</v>
      </c>
      <c r="O41" s="69">
        <f t="shared" si="19"/>
        <v>0.81847914895379625</v>
      </c>
      <c r="P41" s="123">
        <f t="shared" si="5"/>
        <v>0.81050438722101403</v>
      </c>
      <c r="Q41" s="69">
        <f t="shared" si="6"/>
        <v>1.4464830087394047</v>
      </c>
      <c r="R41" s="69">
        <f t="shared" si="7"/>
        <v>1.4464830087394047</v>
      </c>
      <c r="S41" s="123">
        <f t="shared" si="8"/>
        <v>1.4464830087394047</v>
      </c>
      <c r="T41" s="119">
        <f>'337-Adj'!L42</f>
        <v>16.648607959525044</v>
      </c>
      <c r="U41" s="119">
        <f>'337-Adj'!M42</f>
        <v>17.151383187750739</v>
      </c>
      <c r="V41" s="119">
        <f t="shared" si="9"/>
        <v>16.899995573637892</v>
      </c>
      <c r="W41" s="118">
        <f t="shared" si="20"/>
        <v>0.79785725040929001</v>
      </c>
      <c r="X41" s="118">
        <f t="shared" si="21"/>
        <v>0.82195192920413618</v>
      </c>
      <c r="Y41" s="118">
        <f t="shared" si="22"/>
        <v>0.80990458980671309</v>
      </c>
      <c r="Z41" s="118">
        <f t="shared" si="23"/>
        <v>1.4696159341619706</v>
      </c>
      <c r="AA41" s="118">
        <f t="shared" si="24"/>
        <v>1.4696159341619706</v>
      </c>
      <c r="AB41" s="118">
        <v>1.4696159341619706</v>
      </c>
      <c r="AD41" s="143">
        <f t="shared" si="11"/>
        <v>1.009668420210549</v>
      </c>
      <c r="AE41" s="143">
        <f t="shared" si="12"/>
        <v>1.0197099129080955</v>
      </c>
      <c r="AF41" s="143">
        <f t="shared" si="13"/>
        <v>1.03019923524225</v>
      </c>
    </row>
    <row r="42" spans="1:32" s="90" customFormat="1" ht="15.75" x14ac:dyDescent="0.25">
      <c r="A42" s="144">
        <v>54</v>
      </c>
      <c r="B42" s="116">
        <f>'337-Adj'!C43</f>
        <v>17.970913967323071</v>
      </c>
      <c r="C42" s="116">
        <f>'337-Adj'!D43</f>
        <v>18.144664315126771</v>
      </c>
      <c r="D42" s="116">
        <f t="shared" si="2"/>
        <v>18.057789141224923</v>
      </c>
      <c r="E42" s="117">
        <f t="shared" si="14"/>
        <v>0.83010448485814337</v>
      </c>
      <c r="F42" s="117">
        <f t="shared" si="15"/>
        <v>0.83813028383640553</v>
      </c>
      <c r="G42" s="116">
        <f t="shared" si="3"/>
        <v>0.83411738434727445</v>
      </c>
      <c r="H42" s="117">
        <f t="shared" si="16"/>
        <v>1.4316766974761514</v>
      </c>
      <c r="I42" s="117">
        <f t="shared" si="17"/>
        <v>1.4316766974761514</v>
      </c>
      <c r="J42" s="117">
        <f>'337-Adj'!H42</f>
        <v>1.4316766974761514</v>
      </c>
      <c r="K42" s="66">
        <f t="shared" si="0"/>
        <v>17.587290144204651</v>
      </c>
      <c r="L42" s="66">
        <f t="shared" si="1"/>
        <v>17.933934101236328</v>
      </c>
      <c r="M42" s="66">
        <f t="shared" si="4"/>
        <v>17.760612122720488</v>
      </c>
      <c r="N42" s="69">
        <f t="shared" si="18"/>
        <v>0.82529954197489541</v>
      </c>
      <c r="O42" s="69">
        <f t="shared" si="19"/>
        <v>0.8417015961705081</v>
      </c>
      <c r="P42" s="123">
        <f t="shared" si="5"/>
        <v>0.83350056907270176</v>
      </c>
      <c r="Q42" s="69">
        <f t="shared" si="6"/>
        <v>1.4549449507752787</v>
      </c>
      <c r="R42" s="69">
        <f t="shared" si="7"/>
        <v>1.4549449507752787</v>
      </c>
      <c r="S42" s="123">
        <f t="shared" si="8"/>
        <v>1.4549449507752787</v>
      </c>
      <c r="T42" s="119">
        <f>'337-Adj'!L43</f>
        <v>17.203666321086228</v>
      </c>
      <c r="U42" s="119">
        <f>'337-Adj'!M43</f>
        <v>17.723203887345885</v>
      </c>
      <c r="V42" s="119">
        <f t="shared" si="9"/>
        <v>17.463435104216057</v>
      </c>
      <c r="W42" s="118">
        <f t="shared" si="20"/>
        <v>0.82049459909164735</v>
      </c>
      <c r="X42" s="118">
        <f t="shared" si="21"/>
        <v>0.84527290850461068</v>
      </c>
      <c r="Y42" s="118">
        <f t="shared" si="22"/>
        <v>0.83288375379812907</v>
      </c>
      <c r="Z42" s="118">
        <f t="shared" si="23"/>
        <v>1.4782132040744063</v>
      </c>
      <c r="AA42" s="118">
        <f t="shared" si="24"/>
        <v>1.4782132040744063</v>
      </c>
      <c r="AB42" s="118">
        <v>1.4782132040744063</v>
      </c>
      <c r="AD42" s="143">
        <f t="shared" si="11"/>
        <v>1.0096684202105488</v>
      </c>
      <c r="AE42" s="143">
        <f t="shared" si="12"/>
        <v>1.0197099129080953</v>
      </c>
      <c r="AF42" s="143">
        <f t="shared" si="13"/>
        <v>1.03019923524225</v>
      </c>
    </row>
    <row r="43" spans="1:32" s="90" customFormat="1" ht="15.75" x14ac:dyDescent="0.25">
      <c r="A43" s="144">
        <v>55</v>
      </c>
      <c r="B43" s="116">
        <f>'337-Adj'!C44</f>
        <v>18.563709755753983</v>
      </c>
      <c r="C43" s="116">
        <f>'337-Adj'!D44</f>
        <v>18.743191502339283</v>
      </c>
      <c r="D43" s="116">
        <f t="shared" si="2"/>
        <v>18.653450629046631</v>
      </c>
      <c r="E43" s="117">
        <f t="shared" si="14"/>
        <v>0.85499848952223512</v>
      </c>
      <c r="F43" s="117">
        <f t="shared" si="15"/>
        <v>0.86326497419832804</v>
      </c>
      <c r="G43" s="116">
        <f t="shared" si="3"/>
        <v>0.85913173186028158</v>
      </c>
      <c r="H43" s="117">
        <f t="shared" si="16"/>
        <v>1.4423153912502558</v>
      </c>
      <c r="I43" s="117">
        <f t="shared" si="17"/>
        <v>1.4423153912502558</v>
      </c>
      <c r="J43" s="117">
        <f>'337-Adj'!H43</f>
        <v>1.4423153912502558</v>
      </c>
      <c r="K43" s="66">
        <f t="shared" si="0"/>
        <v>18.167431563074846</v>
      </c>
      <c r="L43" s="66">
        <f t="shared" si="1"/>
        <v>18.525510056946839</v>
      </c>
      <c r="M43" s="66">
        <f t="shared" si="4"/>
        <v>18.346470810010842</v>
      </c>
      <c r="N43" s="69">
        <f t="shared" si="18"/>
        <v>0.85004945119952513</v>
      </c>
      <c r="O43" s="69">
        <f t="shared" si="19"/>
        <v>0.8669433866234677</v>
      </c>
      <c r="P43" s="123">
        <f t="shared" si="5"/>
        <v>0.85849641891149642</v>
      </c>
      <c r="Q43" s="69">
        <f t="shared" si="6"/>
        <v>1.4657565493832312</v>
      </c>
      <c r="R43" s="69">
        <f t="shared" si="7"/>
        <v>1.4657565493832312</v>
      </c>
      <c r="S43" s="123">
        <f t="shared" si="8"/>
        <v>1.4657565493832312</v>
      </c>
      <c r="T43" s="119">
        <f>'337-Adj'!L44</f>
        <v>17.771153370395709</v>
      </c>
      <c r="U43" s="119">
        <f>'337-Adj'!M44</f>
        <v>18.307828611554395</v>
      </c>
      <c r="V43" s="119">
        <f t="shared" si="9"/>
        <v>18.039490990975054</v>
      </c>
      <c r="W43" s="118">
        <f t="shared" si="20"/>
        <v>0.84510041287681514</v>
      </c>
      <c r="X43" s="118">
        <f t="shared" si="21"/>
        <v>0.87062179904860726</v>
      </c>
      <c r="Y43" s="118">
        <f t="shared" si="22"/>
        <v>0.85786110596271126</v>
      </c>
      <c r="Z43" s="118">
        <f t="shared" si="23"/>
        <v>1.4891977075162064</v>
      </c>
      <c r="AA43" s="118">
        <f t="shared" si="24"/>
        <v>1.4891977075162064</v>
      </c>
      <c r="AB43" s="118">
        <v>1.4891977075162064</v>
      </c>
      <c r="AD43" s="143">
        <f t="shared" si="11"/>
        <v>1.009668420210549</v>
      </c>
      <c r="AE43" s="143">
        <f t="shared" si="12"/>
        <v>1.0197099129080955</v>
      </c>
      <c r="AF43" s="143">
        <f t="shared" si="13"/>
        <v>1.0301992352422502</v>
      </c>
    </row>
    <row r="44" spans="1:32" s="90" customFormat="1" ht="15.75" x14ac:dyDescent="0.25">
      <c r="A44" s="144">
        <v>56</v>
      </c>
      <c r="B44" s="116">
        <f>'337-Adj'!C45</f>
        <v>19.169779236220077</v>
      </c>
      <c r="C44" s="116">
        <f>'337-Adj'!D45</f>
        <v>19.355120717219307</v>
      </c>
      <c r="D44" s="116">
        <f t="shared" si="2"/>
        <v>19.262449976719694</v>
      </c>
      <c r="E44" s="117">
        <f t="shared" si="14"/>
        <v>0.8798924941863383</v>
      </c>
      <c r="F44" s="117">
        <f t="shared" si="15"/>
        <v>0.88839966456023434</v>
      </c>
      <c r="G44" s="116">
        <f t="shared" si="3"/>
        <v>0.88414607937328626</v>
      </c>
      <c r="H44" s="117">
        <f t="shared" si="16"/>
        <v>1.4518013570154751</v>
      </c>
      <c r="I44" s="117">
        <f t="shared" si="17"/>
        <v>1.4518013570154751</v>
      </c>
      <c r="J44" s="117">
        <f>'337-Adj'!H44</f>
        <v>1.4518013570154751</v>
      </c>
      <c r="K44" s="66">
        <f t="shared" si="0"/>
        <v>18.760563321419816</v>
      </c>
      <c r="L44" s="66">
        <f t="shared" si="1"/>
        <v>19.130332390591811</v>
      </c>
      <c r="M44" s="66">
        <f t="shared" si="4"/>
        <v>18.945447856005813</v>
      </c>
      <c r="N44" s="69">
        <f t="shared" si="18"/>
        <v>0.87479936042416229</v>
      </c>
      <c r="O44" s="69">
        <f t="shared" si="19"/>
        <v>0.89218517707641776</v>
      </c>
      <c r="P44" s="123">
        <f t="shared" si="5"/>
        <v>0.88349226875028997</v>
      </c>
      <c r="Q44" s="69">
        <f t="shared" si="6"/>
        <v>1.4753966853284974</v>
      </c>
      <c r="R44" s="69">
        <f t="shared" si="7"/>
        <v>1.4753966853284974</v>
      </c>
      <c r="S44" s="123">
        <f t="shared" si="8"/>
        <v>1.4753966853284974</v>
      </c>
      <c r="T44" s="119">
        <f>'337-Adj'!L45</f>
        <v>18.351347406619556</v>
      </c>
      <c r="U44" s="119">
        <f>'337-Adj'!M45</f>
        <v>18.905544063964317</v>
      </c>
      <c r="V44" s="119">
        <f t="shared" si="9"/>
        <v>18.628445735291937</v>
      </c>
      <c r="W44" s="118">
        <f t="shared" si="20"/>
        <v>0.86970622666198627</v>
      </c>
      <c r="X44" s="118">
        <f t="shared" si="21"/>
        <v>0.89597068959260107</v>
      </c>
      <c r="Y44" s="118">
        <f t="shared" si="22"/>
        <v>0.88283845812729367</v>
      </c>
      <c r="Z44" s="118">
        <f t="shared" si="23"/>
        <v>1.49899201364152</v>
      </c>
      <c r="AA44" s="118">
        <f t="shared" si="24"/>
        <v>1.49899201364152</v>
      </c>
      <c r="AB44" s="118">
        <v>1.49899201364152</v>
      </c>
      <c r="AD44" s="143">
        <f t="shared" si="11"/>
        <v>1.0096684202105488</v>
      </c>
      <c r="AE44" s="143">
        <f t="shared" si="12"/>
        <v>1.0197099129080955</v>
      </c>
      <c r="AF44" s="143">
        <f t="shared" si="13"/>
        <v>1.0301992352422502</v>
      </c>
    </row>
    <row r="45" spans="1:32" s="90" customFormat="1" ht="15.75" x14ac:dyDescent="0.25">
      <c r="A45" s="144">
        <v>57</v>
      </c>
      <c r="B45" s="116">
        <f>'337-Adj'!C46</f>
        <v>19.789419628950778</v>
      </c>
      <c r="C45" s="116">
        <f>'337-Adj'!D46</f>
        <v>19.980752053646363</v>
      </c>
      <c r="D45" s="116">
        <f t="shared" si="2"/>
        <v>19.885085841298569</v>
      </c>
      <c r="E45" s="117">
        <f t="shared" si="14"/>
        <v>0.90976529978324905</v>
      </c>
      <c r="F45" s="117">
        <f t="shared" si="15"/>
        <v>0.91856129299453493</v>
      </c>
      <c r="G45" s="116">
        <f t="shared" si="3"/>
        <v>0.91416329638889193</v>
      </c>
      <c r="H45" s="117">
        <f t="shared" si="16"/>
        <v>1.4682149686433319</v>
      </c>
      <c r="I45" s="117">
        <f t="shared" si="17"/>
        <v>1.4682149686433319</v>
      </c>
      <c r="J45" s="117">
        <f>'337-Adj'!H45</f>
        <v>1.4682149686433319</v>
      </c>
      <c r="K45" s="66">
        <f t="shared" si="0"/>
        <v>19.366976294729881</v>
      </c>
      <c r="L45" s="66">
        <f t="shared" si="1"/>
        <v>19.748697710792161</v>
      </c>
      <c r="M45" s="66">
        <f t="shared" si="4"/>
        <v>19.557837002761019</v>
      </c>
      <c r="N45" s="69">
        <f t="shared" si="18"/>
        <v>0.90449925149371913</v>
      </c>
      <c r="O45" s="69">
        <f t="shared" si="19"/>
        <v>0.92247532561996515</v>
      </c>
      <c r="P45" s="123">
        <f t="shared" si="5"/>
        <v>0.91348728855684214</v>
      </c>
      <c r="Q45" s="69">
        <f t="shared" si="6"/>
        <v>1.4920770583512841</v>
      </c>
      <c r="R45" s="69">
        <f t="shared" si="7"/>
        <v>1.4920770583512841</v>
      </c>
      <c r="S45" s="123">
        <f t="shared" si="8"/>
        <v>1.4920770583512841</v>
      </c>
      <c r="T45" s="119">
        <f>'337-Adj'!L46</f>
        <v>18.944532960508987</v>
      </c>
      <c r="U45" s="119">
        <f>'337-Adj'!M46</f>
        <v>19.516643367937959</v>
      </c>
      <c r="V45" s="119">
        <f t="shared" si="9"/>
        <v>19.230588164223473</v>
      </c>
      <c r="W45" s="118">
        <f t="shared" si="20"/>
        <v>0.89923320320418931</v>
      </c>
      <c r="X45" s="118">
        <f t="shared" si="21"/>
        <v>0.92638935824539526</v>
      </c>
      <c r="Y45" s="118">
        <f t="shared" si="22"/>
        <v>0.91281128072479234</v>
      </c>
      <c r="Z45" s="118">
        <f t="shared" si="23"/>
        <v>1.5159391480592364</v>
      </c>
      <c r="AA45" s="118">
        <f t="shared" si="24"/>
        <v>1.5159391480592364</v>
      </c>
      <c r="AB45" s="118">
        <v>1.5159391480592364</v>
      </c>
      <c r="AD45" s="143">
        <f t="shared" si="11"/>
        <v>1.009668420210549</v>
      </c>
      <c r="AE45" s="143">
        <f t="shared" si="12"/>
        <v>1.0197099129080958</v>
      </c>
      <c r="AF45" s="143">
        <f t="shared" si="13"/>
        <v>1.0301992352422502</v>
      </c>
    </row>
    <row r="46" spans="1:32" s="90" customFormat="1" ht="15.75" x14ac:dyDescent="0.25">
      <c r="A46" s="144">
        <v>58</v>
      </c>
      <c r="B46" s="116">
        <f>'337-Adj'!C47</f>
        <v>20.422934809435009</v>
      </c>
      <c r="C46" s="116">
        <f>'337-Adj'!D47</f>
        <v>20.620392325105275</v>
      </c>
      <c r="D46" s="116">
        <f t="shared" si="2"/>
        <v>20.521663567270142</v>
      </c>
      <c r="E46" s="117">
        <f t="shared" si="14"/>
        <v>0.93963810538016679</v>
      </c>
      <c r="F46" s="117">
        <f t="shared" si="15"/>
        <v>0.94872292142882297</v>
      </c>
      <c r="G46" s="116">
        <f t="shared" si="3"/>
        <v>0.94418051340449494</v>
      </c>
      <c r="H46" s="117">
        <f t="shared" si="16"/>
        <v>1.4832132430701166</v>
      </c>
      <c r="I46" s="117">
        <f t="shared" si="17"/>
        <v>1.4832132430701166</v>
      </c>
      <c r="J46" s="117">
        <f>'337-Adj'!H46</f>
        <v>1.4832132430701166</v>
      </c>
      <c r="K46" s="66">
        <f t="shared" si="0"/>
        <v>19.986967871685501</v>
      </c>
      <c r="L46" s="66">
        <f t="shared" si="1"/>
        <v>20.380909267733323</v>
      </c>
      <c r="M46" s="66">
        <f t="shared" si="4"/>
        <v>20.183938569709412</v>
      </c>
      <c r="N46" s="69">
        <f t="shared" si="18"/>
        <v>0.93419914256328007</v>
      </c>
      <c r="O46" s="69">
        <f t="shared" si="19"/>
        <v>0.9527654741635061</v>
      </c>
      <c r="P46" s="123">
        <f t="shared" si="5"/>
        <v>0.94348230836339309</v>
      </c>
      <c r="Q46" s="69">
        <f t="shared" si="6"/>
        <v>1.507319091476544</v>
      </c>
      <c r="R46" s="69">
        <f t="shared" si="7"/>
        <v>1.507319091476544</v>
      </c>
      <c r="S46" s="123">
        <f t="shared" si="8"/>
        <v>1.507319091476544</v>
      </c>
      <c r="T46" s="119">
        <f>'337-Adj'!L47</f>
        <v>19.551000933935988</v>
      </c>
      <c r="U46" s="119">
        <f>'337-Adj'!M47</f>
        <v>20.141426210361374</v>
      </c>
      <c r="V46" s="119">
        <f t="shared" si="9"/>
        <v>19.846213572148681</v>
      </c>
      <c r="W46" s="118">
        <f t="shared" si="20"/>
        <v>0.92876017974639324</v>
      </c>
      <c r="X46" s="118">
        <f t="shared" si="21"/>
        <v>0.95680802689818922</v>
      </c>
      <c r="Y46" s="118">
        <f t="shared" si="22"/>
        <v>0.94278410332229123</v>
      </c>
      <c r="Z46" s="118">
        <f t="shared" si="23"/>
        <v>1.5314249398829713</v>
      </c>
      <c r="AA46" s="118">
        <f t="shared" si="24"/>
        <v>1.5314249398829713</v>
      </c>
      <c r="AB46" s="118">
        <v>1.5314249398829713</v>
      </c>
      <c r="AD46" s="143">
        <f t="shared" si="11"/>
        <v>1.009668420210549</v>
      </c>
      <c r="AE46" s="143">
        <f t="shared" si="12"/>
        <v>1.0197099129080953</v>
      </c>
      <c r="AF46" s="143">
        <f t="shared" si="13"/>
        <v>1.0301992352422502</v>
      </c>
    </row>
    <row r="47" spans="1:32" s="90" customFormat="1" ht="15.75" x14ac:dyDescent="0.25">
      <c r="A47" s="144">
        <v>59</v>
      </c>
      <c r="B47" s="116">
        <f>'337-Adj'!C48</f>
        <v>21.070635457443586</v>
      </c>
      <c r="C47" s="116">
        <f>'337-Adj'!D48</f>
        <v>21.274355215149445</v>
      </c>
      <c r="D47" s="116">
        <f t="shared" si="2"/>
        <v>21.172495336296514</v>
      </c>
      <c r="E47" s="117">
        <f t="shared" si="14"/>
        <v>0.96951091097708553</v>
      </c>
      <c r="F47" s="117">
        <f t="shared" si="15"/>
        <v>0.97888454986312579</v>
      </c>
      <c r="G47" s="116">
        <f t="shared" si="3"/>
        <v>0.97419773042010571</v>
      </c>
      <c r="H47" s="117">
        <f t="shared" si="16"/>
        <v>1.4968503026173399</v>
      </c>
      <c r="I47" s="117">
        <f t="shared" si="17"/>
        <v>1.4968503026173399</v>
      </c>
      <c r="J47" s="117">
        <f>'337-Adj'!H47</f>
        <v>1.4968503026173399</v>
      </c>
      <c r="K47" s="66">
        <f t="shared" si="0"/>
        <v>20.620842099998498</v>
      </c>
      <c r="L47" s="66">
        <f t="shared" si="1"/>
        <v>21.027277101881062</v>
      </c>
      <c r="M47" s="66">
        <f t="shared" si="4"/>
        <v>20.82405960093978</v>
      </c>
      <c r="N47" s="69">
        <f t="shared" si="18"/>
        <v>0.96389903363284257</v>
      </c>
      <c r="O47" s="69">
        <f t="shared" si="19"/>
        <v>0.98305562270705327</v>
      </c>
      <c r="P47" s="123">
        <f t="shared" si="5"/>
        <v>0.97347732816994792</v>
      </c>
      <c r="Q47" s="69">
        <f t="shared" si="6"/>
        <v>1.5211777866460776</v>
      </c>
      <c r="R47" s="69">
        <f t="shared" si="7"/>
        <v>1.5211777866460776</v>
      </c>
      <c r="S47" s="123">
        <f t="shared" si="8"/>
        <v>1.5211777866460776</v>
      </c>
      <c r="T47" s="119">
        <f>'337-Adj'!L48</f>
        <v>20.171048742553413</v>
      </c>
      <c r="U47" s="119">
        <f>'337-Adj'!M48</f>
        <v>20.780198988612675</v>
      </c>
      <c r="V47" s="119">
        <f t="shared" si="9"/>
        <v>20.475623865583046</v>
      </c>
      <c r="W47" s="118">
        <f t="shared" si="20"/>
        <v>0.95828715628859962</v>
      </c>
      <c r="X47" s="118">
        <f t="shared" si="21"/>
        <v>0.98722669555098086</v>
      </c>
      <c r="Y47" s="118">
        <f t="shared" si="22"/>
        <v>0.97275692591979024</v>
      </c>
      <c r="Z47" s="118">
        <f t="shared" si="23"/>
        <v>1.5455052706748154</v>
      </c>
      <c r="AA47" s="118">
        <f t="shared" si="24"/>
        <v>1.5455052706748154</v>
      </c>
      <c r="AB47" s="118">
        <v>1.5455052706748154</v>
      </c>
      <c r="AD47" s="143">
        <f t="shared" si="11"/>
        <v>1.009668420210549</v>
      </c>
      <c r="AE47" s="143">
        <f t="shared" si="12"/>
        <v>1.0197099129080958</v>
      </c>
      <c r="AF47" s="143">
        <f t="shared" si="13"/>
        <v>1.03019923524225</v>
      </c>
    </row>
    <row r="48" spans="1:32" x14ac:dyDescent="0.25">
      <c r="A48" s="40">
        <v>60</v>
      </c>
      <c r="B48" s="64">
        <f t="shared" ref="B48:B111" si="25">(1.599 + ((301.48 - 1.599)*(($A48/195.9)^2.2191)))/(1 + (($A48 / 195.9)^2.2191))</f>
        <v>21.732468268793319</v>
      </c>
      <c r="C48" s="64">
        <f t="shared" ref="C48:C111" si="26">(1.554 + ((312.3 - 1.554)*(($A48/214.74)^2.0789)))/( 1 + ($A48 / 214.74)^2.0789)</f>
        <v>21.942586904228435</v>
      </c>
      <c r="D48" s="116">
        <f t="shared" si="2"/>
        <v>21.837527586510877</v>
      </c>
      <c r="E48" s="117">
        <f t="shared" si="14"/>
        <v>0.99250921277241133</v>
      </c>
      <c r="F48" s="117">
        <f t="shared" si="15"/>
        <v>1.0021052089043347</v>
      </c>
      <c r="G48" s="116">
        <f t="shared" si="3"/>
        <v>0.99730721083837304</v>
      </c>
      <c r="H48" s="117">
        <f t="shared" si="16"/>
        <v>1.4996373642284397</v>
      </c>
      <c r="I48" s="117">
        <f t="shared" si="17"/>
        <v>1.4996373642284397</v>
      </c>
      <c r="J48" s="116">
        <v>1.4996373642284397</v>
      </c>
      <c r="K48" s="66">
        <f t="shared" ref="K48:K79" si="27">(B48+T48)/2</f>
        <v>21.268546813366299</v>
      </c>
      <c r="L48" s="66">
        <f t="shared" ref="L48:L79" si="28">(C48+U48)/2</f>
        <v>21.687748018739502</v>
      </c>
      <c r="M48" s="66">
        <f t="shared" si="4"/>
        <v>21.478147416052899</v>
      </c>
      <c r="N48" s="69">
        <f t="shared" si="18"/>
        <v>0.98720897514738526</v>
      </c>
      <c r="O48" s="69">
        <f t="shared" si="19"/>
        <v>1.0068334196887769</v>
      </c>
      <c r="P48" s="123">
        <f t="shared" si="5"/>
        <v>0.99702119741808115</v>
      </c>
      <c r="Q48" s="69">
        <f t="shared" si="6"/>
        <v>1.5247121312074667</v>
      </c>
      <c r="R48" s="69">
        <f t="shared" si="7"/>
        <v>1.5247121312074667</v>
      </c>
      <c r="S48" s="123">
        <f t="shared" si="8"/>
        <v>1.5247121312074667</v>
      </c>
      <c r="T48" s="67">
        <f t="shared" ref="T48:T111" si="29">(1.599+((289.85-1.599)*(($A48/196.55)^2.2196)))/(1+(($A48 / 196.55)^2.2196))</f>
        <v>20.80462535793928</v>
      </c>
      <c r="U48" s="67">
        <f t="shared" ref="U48:U111" si="30">(1.554+((308.3-1.554)*(($A48/216.25)^2.0778)))/(1+($A48/216.25)^2.0778)</f>
        <v>21.432909133250568</v>
      </c>
      <c r="V48" s="119">
        <f t="shared" si="9"/>
        <v>21.118767245594924</v>
      </c>
      <c r="W48" s="118">
        <f t="shared" si="20"/>
        <v>0.98190873752235919</v>
      </c>
      <c r="X48" s="118">
        <f t="shared" si="21"/>
        <v>1.0115616304732189</v>
      </c>
      <c r="Y48" s="118">
        <f t="shared" si="22"/>
        <v>0.99673518399778904</v>
      </c>
      <c r="Z48" s="118">
        <f t="shared" si="23"/>
        <v>1.549786898186494</v>
      </c>
      <c r="AA48" s="118">
        <f t="shared" si="24"/>
        <v>1.549786898186494</v>
      </c>
      <c r="AB48" s="118">
        <v>1.549786898186494</v>
      </c>
      <c r="AD48" s="143">
        <f t="shared" si="11"/>
        <v>1.009668420210549</v>
      </c>
      <c r="AE48" s="143">
        <f t="shared" si="12"/>
        <v>1.0197099129080955</v>
      </c>
      <c r="AF48" s="143">
        <f t="shared" si="13"/>
        <v>1.03019923524225</v>
      </c>
    </row>
    <row r="49" spans="1:32" x14ac:dyDescent="0.25">
      <c r="A49" s="40">
        <v>61</v>
      </c>
      <c r="B49" s="64">
        <f t="shared" si="25"/>
        <v>22.432141441209328</v>
      </c>
      <c r="C49" s="64">
        <f t="shared" si="26"/>
        <v>22.606838224013956</v>
      </c>
      <c r="D49" s="116">
        <f t="shared" si="2"/>
        <v>22.51948983261164</v>
      </c>
      <c r="E49" s="117">
        <f t="shared" si="14"/>
        <v>1.0725077939630294</v>
      </c>
      <c r="F49" s="117">
        <f t="shared" si="15"/>
        <v>1.0182107099521813</v>
      </c>
      <c r="G49" s="116">
        <f t="shared" si="3"/>
        <v>1.0453592519576054</v>
      </c>
      <c r="H49" s="117">
        <f t="shared" si="16"/>
        <v>1.5328696829401105</v>
      </c>
      <c r="I49" s="117">
        <f t="shared" si="17"/>
        <v>1.5328696829401105</v>
      </c>
      <c r="J49" s="116">
        <v>1.5328696829401105</v>
      </c>
      <c r="K49" s="66">
        <f t="shared" si="27"/>
        <v>21.952358864357855</v>
      </c>
      <c r="L49" s="66">
        <f t="shared" si="28"/>
        <v>22.343811189993055</v>
      </c>
      <c r="M49" s="66">
        <f t="shared" si="4"/>
        <v>22.148085027175455</v>
      </c>
      <c r="N49" s="69">
        <f t="shared" ref="N49:N80" si="31">(E49+W49)/2</f>
        <v>1.0552781307117052</v>
      </c>
      <c r="O49" s="69">
        <f t="shared" ref="O49:O80" si="32">(F49+X49)/2</f>
        <v>1.0125298167684171</v>
      </c>
      <c r="P49" s="123">
        <f t="shared" si="5"/>
        <v>1.033903973740061</v>
      </c>
      <c r="Q49" s="69">
        <f t="shared" ref="Q49:Q80" si="33">(H49+Z49)/2</f>
        <v>1.5434743076275053</v>
      </c>
      <c r="R49" s="69">
        <f t="shared" ref="R49:R80" si="34">(I49+AA49)/2</f>
        <v>1.5434743076275053</v>
      </c>
      <c r="S49" s="123">
        <f t="shared" si="8"/>
        <v>1.5434743076275053</v>
      </c>
      <c r="T49" s="67">
        <f t="shared" si="29"/>
        <v>21.472576287506378</v>
      </c>
      <c r="U49" s="67">
        <f t="shared" si="30"/>
        <v>22.080784155972154</v>
      </c>
      <c r="V49" s="119">
        <f t="shared" si="9"/>
        <v>21.776680221739266</v>
      </c>
      <c r="W49" s="118">
        <f t="shared" si="20"/>
        <v>1.0380484674603809</v>
      </c>
      <c r="X49" s="118">
        <f t="shared" si="21"/>
        <v>1.0068489235846532</v>
      </c>
      <c r="Y49" s="118">
        <f t="shared" si="22"/>
        <v>1.0224486955225172</v>
      </c>
      <c r="Z49" s="118">
        <f t="shared" si="23"/>
        <v>1.5540789323149</v>
      </c>
      <c r="AA49" s="118">
        <f t="shared" si="24"/>
        <v>1.5540789323149</v>
      </c>
      <c r="AB49" s="118">
        <v>1.5540789323149</v>
      </c>
      <c r="AD49" s="143">
        <f t="shared" si="11"/>
        <v>1.0077877889305609</v>
      </c>
      <c r="AE49" s="143">
        <f t="shared" si="12"/>
        <v>1.0178319026239484</v>
      </c>
      <c r="AF49" s="143">
        <f t="shared" si="13"/>
        <v>1.0283248670453977</v>
      </c>
    </row>
    <row r="50" spans="1:32" x14ac:dyDescent="0.25">
      <c r="A50" s="40">
        <v>62</v>
      </c>
      <c r="B50" s="64">
        <f t="shared" si="25"/>
        <v>23.142320640931892</v>
      </c>
      <c r="C50" s="64">
        <f t="shared" si="26"/>
        <v>23.279812322142401</v>
      </c>
      <c r="D50" s="116">
        <f t="shared" si="2"/>
        <v>23.211066481537145</v>
      </c>
      <c r="E50" s="117">
        <f t="shared" si="14"/>
        <v>1.1030077029299805</v>
      </c>
      <c r="F50" s="117">
        <f t="shared" si="15"/>
        <v>1.0452229724526076</v>
      </c>
      <c r="G50" s="116">
        <f t="shared" si="3"/>
        <v>1.074115337691294</v>
      </c>
      <c r="H50" s="117">
        <f t="shared" si="16"/>
        <v>1.5531399727855697</v>
      </c>
      <c r="I50" s="117">
        <f t="shared" si="17"/>
        <v>1.5531399727855697</v>
      </c>
      <c r="J50" s="116">
        <v>1.5531399727855697</v>
      </c>
      <c r="K50" s="66">
        <f t="shared" si="27"/>
        <v>22.646453843673385</v>
      </c>
      <c r="L50" s="66">
        <f t="shared" si="28"/>
        <v>23.008503087676242</v>
      </c>
      <c r="M50" s="66">
        <f t="shared" si="4"/>
        <v>22.827478465674815</v>
      </c>
      <c r="N50" s="69">
        <f t="shared" si="31"/>
        <v>1.0858375023976445</v>
      </c>
      <c r="O50" s="69">
        <f t="shared" si="32"/>
        <v>1.0399215516261267</v>
      </c>
      <c r="P50" s="123">
        <f t="shared" si="5"/>
        <v>1.0628795270118856</v>
      </c>
      <c r="Q50" s="69">
        <f t="shared" si="33"/>
        <v>1.5646602104960903</v>
      </c>
      <c r="R50" s="69">
        <f t="shared" si="34"/>
        <v>1.5646602104960903</v>
      </c>
      <c r="S50" s="123">
        <f t="shared" si="8"/>
        <v>1.5646602104960903</v>
      </c>
      <c r="T50" s="67">
        <f t="shared" si="29"/>
        <v>22.150587046414881</v>
      </c>
      <c r="U50" s="67">
        <f t="shared" si="30"/>
        <v>22.737193853210083</v>
      </c>
      <c r="V50" s="119">
        <f t="shared" si="9"/>
        <v>22.443890449812482</v>
      </c>
      <c r="W50" s="118">
        <f t="shared" si="20"/>
        <v>1.0686673018653083</v>
      </c>
      <c r="X50" s="118">
        <f t="shared" si="21"/>
        <v>1.0346201307996459</v>
      </c>
      <c r="Y50" s="118">
        <f t="shared" si="22"/>
        <v>1.0516437163324772</v>
      </c>
      <c r="Z50" s="118">
        <f t="shared" si="23"/>
        <v>1.5761804482066111</v>
      </c>
      <c r="AA50" s="118">
        <f t="shared" si="24"/>
        <v>1.5761804482066111</v>
      </c>
      <c r="AB50" s="118">
        <v>1.5761804482066111</v>
      </c>
      <c r="AD50" s="143">
        <f t="shared" si="11"/>
        <v>1.0059411362993271</v>
      </c>
      <c r="AE50" s="143">
        <f t="shared" si="12"/>
        <v>1.015987017062453</v>
      </c>
      <c r="AF50" s="143">
        <f t="shared" si="13"/>
        <v>1.0264826754056682</v>
      </c>
    </row>
    <row r="51" spans="1:32" x14ac:dyDescent="0.25">
      <c r="A51" s="40">
        <v>63</v>
      </c>
      <c r="B51" s="64">
        <f t="shared" si="25"/>
        <v>23.862867540511832</v>
      </c>
      <c r="C51" s="64">
        <f t="shared" si="26"/>
        <v>23.961380792645365</v>
      </c>
      <c r="D51" s="116">
        <f t="shared" si="2"/>
        <v>23.9121241665786</v>
      </c>
      <c r="E51" s="117">
        <f t="shared" si="14"/>
        <v>1.1336450474277553</v>
      </c>
      <c r="F51" s="117">
        <f t="shared" si="15"/>
        <v>1.0723198191804488</v>
      </c>
      <c r="G51" s="116">
        <f t="shared" si="3"/>
        <v>1.1029824333041021</v>
      </c>
      <c r="H51" s="117">
        <f t="shared" si="16"/>
        <v>1.5733119496990975</v>
      </c>
      <c r="I51" s="117">
        <f t="shared" si="17"/>
        <v>1.5733119496990975</v>
      </c>
      <c r="J51" s="116">
        <v>1.5733119496990975</v>
      </c>
      <c r="K51" s="66">
        <f t="shared" si="27"/>
        <v>23.350697125217017</v>
      </c>
      <c r="L51" s="66">
        <f t="shared" si="28"/>
        <v>23.681697612576066</v>
      </c>
      <c r="M51" s="66">
        <f t="shared" si="4"/>
        <v>23.516197368896542</v>
      </c>
      <c r="N51" s="69">
        <f t="shared" si="31"/>
        <v>1.1165623867319823</v>
      </c>
      <c r="O51" s="69">
        <f t="shared" si="32"/>
        <v>1.0674250678322426</v>
      </c>
      <c r="P51" s="123">
        <f t="shared" si="5"/>
        <v>1.0919937272821123</v>
      </c>
      <c r="Q51" s="69">
        <f t="shared" si="33"/>
        <v>1.5857665541340262</v>
      </c>
      <c r="R51" s="69">
        <f t="shared" si="34"/>
        <v>1.5857665541340262</v>
      </c>
      <c r="S51" s="123">
        <f t="shared" si="8"/>
        <v>1.5857665541340262</v>
      </c>
      <c r="T51" s="67">
        <f t="shared" si="29"/>
        <v>22.838526709922203</v>
      </c>
      <c r="U51" s="67">
        <f t="shared" si="30"/>
        <v>23.402014432506771</v>
      </c>
      <c r="V51" s="119">
        <f t="shared" si="9"/>
        <v>23.120270571214487</v>
      </c>
      <c r="W51" s="118">
        <f t="shared" si="20"/>
        <v>1.0994797260362092</v>
      </c>
      <c r="X51" s="118">
        <f t="shared" si="21"/>
        <v>1.0625303164840361</v>
      </c>
      <c r="Y51" s="118">
        <f t="shared" si="22"/>
        <v>1.0810050212601228</v>
      </c>
      <c r="Z51" s="118">
        <f t="shared" si="23"/>
        <v>1.598221158568955</v>
      </c>
      <c r="AA51" s="118">
        <f t="shared" si="24"/>
        <v>1.598221158568955</v>
      </c>
      <c r="AB51" s="118">
        <v>1.598221158568955</v>
      </c>
      <c r="AD51" s="143">
        <f t="shared" si="11"/>
        <v>1.004128307378243</v>
      </c>
      <c r="AE51" s="143">
        <f t="shared" si="12"/>
        <v>1.0141751865301525</v>
      </c>
      <c r="AF51" s="143">
        <f t="shared" si="13"/>
        <v>1.0246726826884047</v>
      </c>
    </row>
    <row r="52" spans="1:32" x14ac:dyDescent="0.25">
      <c r="A52" s="40">
        <v>64</v>
      </c>
      <c r="B52" s="64">
        <f t="shared" si="25"/>
        <v>24.593640955825403</v>
      </c>
      <c r="C52" s="64">
        <f t="shared" si="26"/>
        <v>24.651413967341423</v>
      </c>
      <c r="D52" s="116">
        <f t="shared" si="2"/>
        <v>24.622527461583413</v>
      </c>
      <c r="E52" s="117">
        <f t="shared" si="14"/>
        <v>1.1643974198666736</v>
      </c>
      <c r="F52" s="117">
        <f t="shared" si="15"/>
        <v>1.0994828648682213</v>
      </c>
      <c r="G52" s="116">
        <f t="shared" si="3"/>
        <v>1.1319401423674473</v>
      </c>
      <c r="H52" s="117">
        <f t="shared" si="16"/>
        <v>1.5933768189515165</v>
      </c>
      <c r="I52" s="117">
        <f t="shared" si="17"/>
        <v>1.5933768189515165</v>
      </c>
      <c r="J52" s="116">
        <v>1.5933768189515165</v>
      </c>
      <c r="K52" s="66">
        <f t="shared" si="27"/>
        <v>24.064951286106865</v>
      </c>
      <c r="L52" s="66">
        <f t="shared" si="28"/>
        <v>24.363267418634138</v>
      </c>
      <c r="M52" s="66">
        <f t="shared" si="4"/>
        <v>24.2141093523705</v>
      </c>
      <c r="N52" s="69">
        <f t="shared" si="31"/>
        <v>1.1474312409946434</v>
      </c>
      <c r="O52" s="69">
        <f t="shared" si="32"/>
        <v>1.0950225295538853</v>
      </c>
      <c r="P52" s="123">
        <f t="shared" si="5"/>
        <v>1.1212268852742644</v>
      </c>
      <c r="Q52" s="69">
        <f t="shared" si="33"/>
        <v>1.6067848025659175</v>
      </c>
      <c r="R52" s="69">
        <f t="shared" si="34"/>
        <v>1.6067848025659175</v>
      </c>
      <c r="S52" s="123">
        <f t="shared" si="8"/>
        <v>1.6067848025659175</v>
      </c>
      <c r="T52" s="67">
        <f t="shared" si="29"/>
        <v>23.536261616388327</v>
      </c>
      <c r="U52" s="67">
        <f t="shared" si="30"/>
        <v>24.075120869926852</v>
      </c>
      <c r="V52" s="119">
        <f t="shared" si="9"/>
        <v>23.80569124315759</v>
      </c>
      <c r="W52" s="118">
        <f t="shared" si="20"/>
        <v>1.1304650621226133</v>
      </c>
      <c r="X52" s="118">
        <f t="shared" si="21"/>
        <v>1.0905621942395496</v>
      </c>
      <c r="Y52" s="118">
        <f t="shared" si="22"/>
        <v>1.1105136281810815</v>
      </c>
      <c r="Z52" s="118">
        <f t="shared" si="23"/>
        <v>1.6201927861803185</v>
      </c>
      <c r="AA52" s="118">
        <f t="shared" si="24"/>
        <v>1.6201927861803185</v>
      </c>
      <c r="AB52" s="118">
        <v>1.6201927861803185</v>
      </c>
      <c r="AD52" s="143">
        <f t="shared" si="11"/>
        <v>1.0023491036410506</v>
      </c>
      <c r="AE52" s="143">
        <f t="shared" si="12"/>
        <v>1.0123962907292272</v>
      </c>
      <c r="AF52" s="143">
        <f t="shared" si="13"/>
        <v>1.0228948531555802</v>
      </c>
    </row>
    <row r="53" spans="1:32" x14ac:dyDescent="0.25">
      <c r="A53" s="40">
        <v>65</v>
      </c>
      <c r="B53" s="64">
        <f t="shared" si="25"/>
        <v>25.334496961557871</v>
      </c>
      <c r="C53" s="64">
        <f t="shared" si="26"/>
        <v>25.349780988429394</v>
      </c>
      <c r="D53" s="116">
        <f t="shared" si="2"/>
        <v>25.342138974993631</v>
      </c>
      <c r="E53" s="117">
        <f t="shared" si="14"/>
        <v>1.195242423159528</v>
      </c>
      <c r="F53" s="117">
        <f t="shared" si="15"/>
        <v>1.1266938299496154</v>
      </c>
      <c r="G53" s="116">
        <f t="shared" si="3"/>
        <v>1.1609681265545717</v>
      </c>
      <c r="H53" s="117">
        <f t="shared" si="16"/>
        <v>1.6133262252194589</v>
      </c>
      <c r="I53" s="117">
        <f t="shared" si="17"/>
        <v>1.6133262252194589</v>
      </c>
      <c r="J53" s="116">
        <v>1.6133262252194589</v>
      </c>
      <c r="K53" s="66">
        <f t="shared" si="27"/>
        <v>24.7890762189787</v>
      </c>
      <c r="L53" s="66">
        <f t="shared" si="28"/>
        <v>25.053083983889124</v>
      </c>
      <c r="M53" s="66">
        <f t="shared" si="4"/>
        <v>24.921080101433912</v>
      </c>
      <c r="N53" s="69">
        <f t="shared" si="31"/>
        <v>1.1784224996373904</v>
      </c>
      <c r="O53" s="69">
        <f t="shared" si="32"/>
        <v>1.1226961774295943</v>
      </c>
      <c r="P53" s="123">
        <f t="shared" si="5"/>
        <v>1.1505593385334922</v>
      </c>
      <c r="Q53" s="69">
        <f t="shared" si="33"/>
        <v>1.6277068350537329</v>
      </c>
      <c r="R53" s="69">
        <f t="shared" si="34"/>
        <v>1.6277068350537329</v>
      </c>
      <c r="S53" s="123">
        <f t="shared" si="8"/>
        <v>1.6277068350537329</v>
      </c>
      <c r="T53" s="67">
        <f t="shared" si="29"/>
        <v>24.243655476399525</v>
      </c>
      <c r="U53" s="67">
        <f t="shared" si="30"/>
        <v>24.756386979348857</v>
      </c>
      <c r="V53" s="119">
        <f t="shared" si="9"/>
        <v>24.500021227874193</v>
      </c>
      <c r="W53" s="118">
        <f t="shared" si="20"/>
        <v>1.1616025761152526</v>
      </c>
      <c r="X53" s="118">
        <f t="shared" si="21"/>
        <v>1.1186985249095731</v>
      </c>
      <c r="Y53" s="118">
        <f t="shared" si="22"/>
        <v>1.1401505505124128</v>
      </c>
      <c r="Z53" s="118">
        <f t="shared" si="23"/>
        <v>1.642087444888007</v>
      </c>
      <c r="AA53" s="118">
        <f t="shared" si="24"/>
        <v>1.642087444888007</v>
      </c>
      <c r="AB53" s="118">
        <v>1.642087444888007</v>
      </c>
      <c r="AD53" s="143">
        <f t="shared" si="11"/>
        <v>1.0006032891394969</v>
      </c>
      <c r="AE53" s="143">
        <f t="shared" si="12"/>
        <v>1.0106501655236471</v>
      </c>
      <c r="AF53" s="143">
        <f t="shared" si="13"/>
        <v>1.0211491003676596</v>
      </c>
    </row>
    <row r="54" spans="1:32" x14ac:dyDescent="0.25">
      <c r="A54" s="40">
        <v>66</v>
      </c>
      <c r="B54" s="64">
        <f t="shared" si="25"/>
        <v>26.085289006771212</v>
      </c>
      <c r="C54" s="64">
        <f t="shared" si="26"/>
        <v>26.056349880604522</v>
      </c>
      <c r="D54" s="116">
        <f t="shared" si="2"/>
        <v>26.070819443687867</v>
      </c>
      <c r="E54" s="117">
        <f t="shared" si="14"/>
        <v>1.2261577187711776</v>
      </c>
      <c r="F54" s="117">
        <f t="shared" si="15"/>
        <v>1.153934576834722</v>
      </c>
      <c r="G54" s="116">
        <f t="shared" si="3"/>
        <v>1.1900461478029498</v>
      </c>
      <c r="H54" s="117">
        <f t="shared" si="16"/>
        <v>1.6331522511306829</v>
      </c>
      <c r="I54" s="117">
        <f t="shared" si="17"/>
        <v>1.6331522511306829</v>
      </c>
      <c r="J54" s="116">
        <v>1.6331522511306829</v>
      </c>
      <c r="K54" s="66">
        <f t="shared" si="27"/>
        <v>25.522929244380769</v>
      </c>
      <c r="L54" s="66">
        <f t="shared" si="28"/>
        <v>25.751017680960366</v>
      </c>
      <c r="M54" s="66">
        <f t="shared" si="4"/>
        <v>25.636973462670568</v>
      </c>
      <c r="N54" s="69">
        <f t="shared" si="31"/>
        <v>1.2095146183997765</v>
      </c>
      <c r="O54" s="69">
        <f t="shared" si="32"/>
        <v>1.1504283618545295</v>
      </c>
      <c r="P54" s="123">
        <f t="shared" si="5"/>
        <v>1.179971490127153</v>
      </c>
      <c r="Q54" s="69">
        <f t="shared" si="33"/>
        <v>1.6485249428055178</v>
      </c>
      <c r="R54" s="69">
        <f t="shared" si="34"/>
        <v>1.6485249428055178</v>
      </c>
      <c r="S54" s="123">
        <f t="shared" si="8"/>
        <v>1.6485249428055178</v>
      </c>
      <c r="T54" s="67">
        <f t="shared" si="29"/>
        <v>24.96056948199033</v>
      </c>
      <c r="U54" s="67">
        <f t="shared" si="30"/>
        <v>25.445685481316215</v>
      </c>
      <c r="V54" s="119">
        <f t="shared" si="9"/>
        <v>25.203127481653272</v>
      </c>
      <c r="W54" s="118">
        <f t="shared" si="20"/>
        <v>1.1928715180283753</v>
      </c>
      <c r="X54" s="118">
        <f t="shared" si="21"/>
        <v>1.1469221468743369</v>
      </c>
      <c r="Y54" s="118">
        <f t="shared" si="22"/>
        <v>1.1698968324513561</v>
      </c>
      <c r="Z54" s="118">
        <f t="shared" si="23"/>
        <v>1.6638976344803529</v>
      </c>
      <c r="AA54" s="118">
        <f t="shared" si="24"/>
        <v>1.6638976344803529</v>
      </c>
      <c r="AB54" s="118">
        <v>1.6638976344803529</v>
      </c>
      <c r="AD54" s="143">
        <f t="shared" si="11"/>
        <v>0.99889059591560669</v>
      </c>
      <c r="AE54" s="143">
        <f t="shared" si="12"/>
        <v>1.0089366088976568</v>
      </c>
      <c r="AF54" s="143">
        <f t="shared" si="13"/>
        <v>1.0194352937209989</v>
      </c>
    </row>
    <row r="55" spans="1:32" x14ac:dyDescent="0.25">
      <c r="A55" s="40">
        <v>67</v>
      </c>
      <c r="B55" s="64">
        <f t="shared" si="25"/>
        <v>26.845868030481189</v>
      </c>
      <c r="C55" s="64">
        <f t="shared" si="26"/>
        <v>26.770987622661814</v>
      </c>
      <c r="D55" s="116">
        <f t="shared" si="2"/>
        <v>26.808427826571503</v>
      </c>
      <c r="E55" s="117">
        <f t="shared" si="14"/>
        <v>1.2571210742295151</v>
      </c>
      <c r="F55" s="117">
        <f t="shared" si="15"/>
        <v>1.1811871455484557</v>
      </c>
      <c r="G55" s="116">
        <f t="shared" si="3"/>
        <v>1.2191541098889855</v>
      </c>
      <c r="H55" s="117">
        <f t="shared" si="16"/>
        <v>1.652847416298034</v>
      </c>
      <c r="I55" s="117">
        <f t="shared" si="17"/>
        <v>1.652847416298034</v>
      </c>
      <c r="J55" s="116">
        <v>1.652847416298034</v>
      </c>
      <c r="K55" s="66">
        <f t="shared" si="27"/>
        <v>26.266365223187982</v>
      </c>
      <c r="L55" s="66">
        <f t="shared" si="28"/>
        <v>26.456937847037807</v>
      </c>
      <c r="M55" s="66">
        <f t="shared" si="4"/>
        <v>26.361651535112895</v>
      </c>
      <c r="N55" s="69">
        <f t="shared" si="31"/>
        <v>1.240686117974779</v>
      </c>
      <c r="O55" s="69">
        <f t="shared" si="32"/>
        <v>1.1782015757136315</v>
      </c>
      <c r="P55" s="123">
        <f t="shared" si="5"/>
        <v>1.2094438468442053</v>
      </c>
      <c r="Q55" s="69">
        <f t="shared" si="33"/>
        <v>1.6692318263132946</v>
      </c>
      <c r="R55" s="69">
        <f t="shared" si="34"/>
        <v>1.6692318263132946</v>
      </c>
      <c r="S55" s="123">
        <f t="shared" si="8"/>
        <v>1.6692318263132946</v>
      </c>
      <c r="T55" s="67">
        <f t="shared" si="29"/>
        <v>25.68686241589478</v>
      </c>
      <c r="U55" s="67">
        <f t="shared" si="30"/>
        <v>26.142888071413797</v>
      </c>
      <c r="V55" s="119">
        <f t="shared" si="9"/>
        <v>25.914875243654286</v>
      </c>
      <c r="W55" s="118">
        <f t="shared" si="20"/>
        <v>1.2242511617200427</v>
      </c>
      <c r="X55" s="118">
        <f t="shared" si="21"/>
        <v>1.175216005878807</v>
      </c>
      <c r="Y55" s="118">
        <f t="shared" si="22"/>
        <v>1.199733583799425</v>
      </c>
      <c r="Z55" s="118">
        <f t="shared" si="23"/>
        <v>1.6856162363285554</v>
      </c>
      <c r="AA55" s="118">
        <f t="shared" si="24"/>
        <v>1.6856162363285554</v>
      </c>
      <c r="AB55" s="118">
        <v>1.6856162363285554</v>
      </c>
      <c r="AD55" s="143">
        <f t="shared" si="11"/>
        <v>0.9972107287522104</v>
      </c>
      <c r="AE55" s="143">
        <f t="shared" si="12"/>
        <v>1.0072553862032492</v>
      </c>
      <c r="AF55" s="143">
        <f t="shared" si="13"/>
        <v>1.0177532642226026</v>
      </c>
    </row>
    <row r="56" spans="1:32" x14ac:dyDescent="0.25">
      <c r="A56" s="40">
        <v>68</v>
      </c>
      <c r="B56" s="64">
        <f t="shared" si="25"/>
        <v>27.61608257716707</v>
      </c>
      <c r="C56" s="64">
        <f t="shared" si="26"/>
        <v>27.493560218550854</v>
      </c>
      <c r="D56" s="116">
        <f t="shared" si="2"/>
        <v>27.554821397858962</v>
      </c>
      <c r="E56" s="117">
        <f t="shared" si="14"/>
        <v>1.2881104099014875</v>
      </c>
      <c r="F56" s="117">
        <f t="shared" si="15"/>
        <v>1.2084337885841117</v>
      </c>
      <c r="G56" s="116">
        <f t="shared" si="3"/>
        <v>1.2482720992427996</v>
      </c>
      <c r="H56" s="117">
        <f t="shared" si="16"/>
        <v>1.6724046766502068</v>
      </c>
      <c r="I56" s="117">
        <f t="shared" si="17"/>
        <v>1.6724046766502068</v>
      </c>
      <c r="J56" s="116">
        <v>1.6724046766502068</v>
      </c>
      <c r="K56" s="66">
        <f t="shared" si="27"/>
        <v>27.019236668960826</v>
      </c>
      <c r="L56" s="66">
        <f t="shared" si="28"/>
        <v>27.170712853343741</v>
      </c>
      <c r="M56" s="66">
        <f t="shared" si="4"/>
        <v>27.094974761152283</v>
      </c>
      <c r="N56" s="69">
        <f t="shared" si="31"/>
        <v>1.2719156270561611</v>
      </c>
      <c r="O56" s="69">
        <f t="shared" si="32"/>
        <v>1.2059984864382451</v>
      </c>
      <c r="P56" s="123">
        <f t="shared" si="5"/>
        <v>1.238957056747203</v>
      </c>
      <c r="Q56" s="69">
        <f t="shared" si="33"/>
        <v>1.689820593139054</v>
      </c>
      <c r="R56" s="69">
        <f t="shared" si="34"/>
        <v>1.689820593139054</v>
      </c>
      <c r="S56" s="123">
        <f t="shared" si="8"/>
        <v>1.689820593139054</v>
      </c>
      <c r="T56" s="67">
        <f t="shared" si="29"/>
        <v>26.422390760754581</v>
      </c>
      <c r="U56" s="67">
        <f t="shared" si="30"/>
        <v>26.847865488136627</v>
      </c>
      <c r="V56" s="119">
        <f t="shared" si="9"/>
        <v>26.635128124445604</v>
      </c>
      <c r="W56" s="118">
        <f t="shared" si="20"/>
        <v>1.2557208442108347</v>
      </c>
      <c r="X56" s="118">
        <f t="shared" si="21"/>
        <v>1.2035631842923786</v>
      </c>
      <c r="Y56" s="118">
        <f t="shared" si="22"/>
        <v>1.2296420142516067</v>
      </c>
      <c r="Z56" s="118">
        <f t="shared" si="23"/>
        <v>1.7072365096279012</v>
      </c>
      <c r="AA56" s="118">
        <f t="shared" si="24"/>
        <v>1.7072365096279012</v>
      </c>
      <c r="AB56" s="118">
        <v>1.7072365096279012</v>
      </c>
      <c r="AD56" s="143">
        <f t="shared" si="11"/>
        <v>0.99556336934198197</v>
      </c>
      <c r="AE56" s="143">
        <f t="shared" si="12"/>
        <v>1.0056062347814929</v>
      </c>
      <c r="AF56" s="143">
        <f t="shared" si="13"/>
        <v>1.0161028095918561</v>
      </c>
    </row>
    <row r="57" spans="1:32" x14ac:dyDescent="0.25">
      <c r="A57" s="40">
        <v>69</v>
      </c>
      <c r="B57" s="64">
        <f t="shared" si="25"/>
        <v>28.395778912134052</v>
      </c>
      <c r="C57" s="64">
        <f t="shared" si="26"/>
        <v>28.223932767845465</v>
      </c>
      <c r="D57" s="116">
        <f t="shared" si="2"/>
        <v>28.309855839989758</v>
      </c>
      <c r="E57" s="117">
        <f t="shared" si="14"/>
        <v>1.3191038448431764</v>
      </c>
      <c r="F57" s="117">
        <f t="shared" si="15"/>
        <v>1.2356570048302622</v>
      </c>
      <c r="G57" s="116">
        <f t="shared" si="3"/>
        <v>1.2773804248367193</v>
      </c>
      <c r="H57" s="117">
        <f t="shared" si="16"/>
        <v>1.6918174238936718</v>
      </c>
      <c r="I57" s="117">
        <f t="shared" si="17"/>
        <v>1.6918174238936718</v>
      </c>
      <c r="J57" s="116">
        <v>1.6918174238936718</v>
      </c>
      <c r="K57" s="66">
        <f t="shared" si="27"/>
        <v>27.781393860172166</v>
      </c>
      <c r="L57" s="66">
        <f t="shared" si="28"/>
        <v>27.892210174030971</v>
      </c>
      <c r="M57" s="66">
        <f t="shared" si="4"/>
        <v>27.836802017101569</v>
      </c>
      <c r="N57" s="69">
        <f t="shared" si="31"/>
        <v>1.3031819246052914</v>
      </c>
      <c r="O57" s="69">
        <f t="shared" si="32"/>
        <v>1.2338019672656426</v>
      </c>
      <c r="P57" s="123">
        <f t="shared" si="5"/>
        <v>1.2684919459354669</v>
      </c>
      <c r="Q57" s="69">
        <f t="shared" si="33"/>
        <v>1.7102847559910801</v>
      </c>
      <c r="R57" s="69">
        <f t="shared" si="34"/>
        <v>1.7102847559910801</v>
      </c>
      <c r="S57" s="123">
        <f t="shared" si="8"/>
        <v>1.7102847559910801</v>
      </c>
      <c r="T57" s="67">
        <f t="shared" si="29"/>
        <v>27.167008808210277</v>
      </c>
      <c r="U57" s="67">
        <f t="shared" si="30"/>
        <v>27.560487580216474</v>
      </c>
      <c r="V57" s="119">
        <f t="shared" si="9"/>
        <v>27.363748194213375</v>
      </c>
      <c r="W57" s="118">
        <f t="shared" si="20"/>
        <v>1.2872600043674063</v>
      </c>
      <c r="X57" s="118">
        <f t="shared" si="21"/>
        <v>1.231946929701023</v>
      </c>
      <c r="Y57" s="118">
        <f t="shared" si="22"/>
        <v>1.2596034670342147</v>
      </c>
      <c r="Z57" s="118">
        <f t="shared" si="23"/>
        <v>1.7287520880884881</v>
      </c>
      <c r="AA57" s="118">
        <f t="shared" si="24"/>
        <v>1.7287520880884881</v>
      </c>
      <c r="AB57" s="118">
        <v>1.7287520880884881</v>
      </c>
      <c r="AD57" s="143">
        <f t="shared" si="11"/>
        <v>0.99394817994532447</v>
      </c>
      <c r="AE57" s="143">
        <f t="shared" si="12"/>
        <v>1.0039888680322002</v>
      </c>
      <c r="AF57" s="143">
        <f t="shared" si="13"/>
        <v>1.0144836987680175</v>
      </c>
    </row>
    <row r="58" spans="1:32" x14ac:dyDescent="0.25">
      <c r="A58" s="40">
        <v>70</v>
      </c>
      <c r="B58" s="64">
        <f t="shared" si="25"/>
        <v>29.184801136647451</v>
      </c>
      <c r="C58" s="64">
        <f t="shared" si="26"/>
        <v>28.961969535592822</v>
      </c>
      <c r="D58" s="116">
        <f t="shared" si="2"/>
        <v>29.073385336120136</v>
      </c>
      <c r="E58" s="117">
        <f t="shared" si="14"/>
        <v>1.3500797415396519</v>
      </c>
      <c r="F58" s="117">
        <f t="shared" si="15"/>
        <v>1.2628395724361376</v>
      </c>
      <c r="G58" s="116">
        <f t="shared" si="3"/>
        <v>1.3064596569878948</v>
      </c>
      <c r="H58" s="117">
        <f t="shared" si="16"/>
        <v>1.7110794849565418</v>
      </c>
      <c r="I58" s="117">
        <f t="shared" si="17"/>
        <v>1.7110794849565418</v>
      </c>
      <c r="J58" s="116">
        <v>1.7110794849565418</v>
      </c>
      <c r="K58" s="66">
        <f t="shared" si="27"/>
        <v>28.552684952223395</v>
      </c>
      <c r="L58" s="66">
        <f t="shared" si="28"/>
        <v>28.621296454482753</v>
      </c>
      <c r="M58" s="66">
        <f t="shared" si="4"/>
        <v>28.586990703353074</v>
      </c>
      <c r="N58" s="69">
        <f t="shared" si="31"/>
        <v>1.3344639811795513</v>
      </c>
      <c r="O58" s="69">
        <f t="shared" si="32"/>
        <v>1.261595127587323</v>
      </c>
      <c r="P58" s="123">
        <f t="shared" si="5"/>
        <v>1.298029554383437</v>
      </c>
      <c r="Q58" s="69">
        <f t="shared" si="33"/>
        <v>1.7306182309496181</v>
      </c>
      <c r="R58" s="69">
        <f t="shared" si="34"/>
        <v>1.7306182309496181</v>
      </c>
      <c r="S58" s="123">
        <f t="shared" si="8"/>
        <v>1.7306182309496181</v>
      </c>
      <c r="T58" s="67">
        <f t="shared" si="29"/>
        <v>27.920568767799338</v>
      </c>
      <c r="U58" s="67">
        <f t="shared" si="30"/>
        <v>28.280623373372688</v>
      </c>
      <c r="V58" s="119">
        <f t="shared" si="9"/>
        <v>28.100596070586015</v>
      </c>
      <c r="W58" s="118">
        <f t="shared" si="20"/>
        <v>1.318848220819451</v>
      </c>
      <c r="X58" s="118">
        <f t="shared" si="21"/>
        <v>1.2603506827385083</v>
      </c>
      <c r="Y58" s="118">
        <f t="shared" si="22"/>
        <v>1.2895994517789795</v>
      </c>
      <c r="Z58" s="118">
        <f t="shared" si="23"/>
        <v>1.7501569769426943</v>
      </c>
      <c r="AA58" s="118">
        <f t="shared" si="24"/>
        <v>1.7501569769426943</v>
      </c>
      <c r="AB58" s="118">
        <v>1.7501569769426943</v>
      </c>
      <c r="AD58" s="143">
        <f t="shared" si="11"/>
        <v>0.9923648065987738</v>
      </c>
      <c r="AE58" s="143">
        <f t="shared" si="12"/>
        <v>1.0024029789973925</v>
      </c>
      <c r="AF58" s="143">
        <f t="shared" si="13"/>
        <v>1.012895675892842</v>
      </c>
    </row>
    <row r="59" spans="1:32" x14ac:dyDescent="0.25">
      <c r="A59" s="40">
        <v>71</v>
      </c>
      <c r="B59" s="64">
        <f t="shared" si="25"/>
        <v>29.982991302756357</v>
      </c>
      <c r="C59" s="64">
        <f t="shared" si="26"/>
        <v>29.70753402150568</v>
      </c>
      <c r="D59" s="116">
        <f t="shared" si="2"/>
        <v>29.84526266213102</v>
      </c>
      <c r="E59" s="117">
        <f t="shared" si="14"/>
        <v>1.3810167493599392</v>
      </c>
      <c r="F59" s="117">
        <f t="shared" si="15"/>
        <v>1.2899645804870825</v>
      </c>
      <c r="G59" s="116">
        <f t="shared" si="3"/>
        <v>1.335490664923511</v>
      </c>
      <c r="H59" s="117">
        <f t="shared" si="16"/>
        <v>1.7301851212878905</v>
      </c>
      <c r="I59" s="117">
        <f t="shared" si="17"/>
        <v>1.7301851212878905</v>
      </c>
      <c r="J59" s="116">
        <v>1.7301851212878905</v>
      </c>
      <c r="K59" s="66">
        <f t="shared" si="27"/>
        <v>29.332956089170153</v>
      </c>
      <c r="L59" s="66">
        <f t="shared" si="28"/>
        <v>29.35783757897957</v>
      </c>
      <c r="M59" s="66">
        <f t="shared" si="4"/>
        <v>29.345396834074862</v>
      </c>
      <c r="N59" s="69">
        <f t="shared" si="31"/>
        <v>1.3657409991724796</v>
      </c>
      <c r="O59" s="69">
        <f t="shared" si="32"/>
        <v>1.289361342276991</v>
      </c>
      <c r="P59" s="123">
        <f t="shared" si="5"/>
        <v>1.3275511707247354</v>
      </c>
      <c r="Q59" s="69">
        <f t="shared" si="33"/>
        <v>1.7508153357205871</v>
      </c>
      <c r="R59" s="69">
        <f t="shared" si="34"/>
        <v>1.7508153357205871</v>
      </c>
      <c r="S59" s="123">
        <f t="shared" si="8"/>
        <v>1.7508153357205871</v>
      </c>
      <c r="T59" s="67">
        <f t="shared" si="29"/>
        <v>28.682920875583946</v>
      </c>
      <c r="U59" s="67">
        <f t="shared" si="30"/>
        <v>29.008141136453457</v>
      </c>
      <c r="V59" s="119">
        <f t="shared" si="9"/>
        <v>28.845531006018703</v>
      </c>
      <c r="W59" s="118">
        <f t="shared" si="20"/>
        <v>1.3504652489850202</v>
      </c>
      <c r="X59" s="118">
        <f t="shared" si="21"/>
        <v>1.2887581040668994</v>
      </c>
      <c r="Y59" s="118">
        <f t="shared" si="22"/>
        <v>1.3196116765259598</v>
      </c>
      <c r="Z59" s="118">
        <f t="shared" si="23"/>
        <v>1.771445550153284</v>
      </c>
      <c r="AA59" s="118">
        <f t="shared" si="24"/>
        <v>1.771445550153284</v>
      </c>
      <c r="AB59" s="118">
        <v>1.771445550153284</v>
      </c>
      <c r="AD59" s="143">
        <f t="shared" si="11"/>
        <v>0.99081288192798311</v>
      </c>
      <c r="AE59" s="143">
        <f t="shared" si="12"/>
        <v>1.0008482435160568</v>
      </c>
      <c r="AF59" s="143">
        <f t="shared" si="13"/>
        <v>1.0113384638294056</v>
      </c>
    </row>
    <row r="60" spans="1:32" x14ac:dyDescent="0.25">
      <c r="A60" s="40">
        <v>72</v>
      </c>
      <c r="B60" s="64">
        <f t="shared" si="25"/>
        <v>30.790189527722926</v>
      </c>
      <c r="C60" s="64">
        <f t="shared" si="26"/>
        <v>30.460489028462941</v>
      </c>
      <c r="D60" s="116">
        <f t="shared" si="2"/>
        <v>30.625339278092934</v>
      </c>
      <c r="E60" s="117">
        <f t="shared" si="14"/>
        <v>1.4118938465590003</v>
      </c>
      <c r="F60" s="117">
        <f t="shared" si="15"/>
        <v>1.3170154593721699</v>
      </c>
      <c r="G60" s="116">
        <f t="shared" si="3"/>
        <v>1.364454652965585</v>
      </c>
      <c r="H60" s="117">
        <f t="shared" si="16"/>
        <v>1.749129027900767</v>
      </c>
      <c r="I60" s="117">
        <f t="shared" si="17"/>
        <v>1.749129027900767</v>
      </c>
      <c r="J60" s="116">
        <v>1.749129027900767</v>
      </c>
      <c r="K60" s="66">
        <f t="shared" si="27"/>
        <v>30.122051515076585</v>
      </c>
      <c r="L60" s="66">
        <f t="shared" si="28"/>
        <v>30.101698737698619</v>
      </c>
      <c r="M60" s="66">
        <f t="shared" si="4"/>
        <v>30.111875126387602</v>
      </c>
      <c r="N60" s="69">
        <f t="shared" si="31"/>
        <v>1.396992451821548</v>
      </c>
      <c r="O60" s="69">
        <f t="shared" si="32"/>
        <v>1.317084279897212</v>
      </c>
      <c r="P60" s="123">
        <f t="shared" si="5"/>
        <v>1.3570383658593799</v>
      </c>
      <c r="Q60" s="69">
        <f t="shared" si="33"/>
        <v>1.7708707878102623</v>
      </c>
      <c r="R60" s="69">
        <f t="shared" si="34"/>
        <v>1.7708707878102623</v>
      </c>
      <c r="S60" s="123">
        <f t="shared" si="8"/>
        <v>1.7708707878102623</v>
      </c>
      <c r="T60" s="67">
        <f t="shared" si="29"/>
        <v>29.453913502430247</v>
      </c>
      <c r="U60" s="67">
        <f t="shared" si="30"/>
        <v>29.742908446934297</v>
      </c>
      <c r="V60" s="119">
        <f t="shared" si="9"/>
        <v>29.598410974682274</v>
      </c>
      <c r="W60" s="118">
        <f t="shared" si="20"/>
        <v>1.3820910570840956</v>
      </c>
      <c r="X60" s="118">
        <f t="shared" si="21"/>
        <v>1.3171531004222541</v>
      </c>
      <c r="Y60" s="118">
        <f t="shared" si="22"/>
        <v>1.3496220787531747</v>
      </c>
      <c r="Z60" s="118">
        <f t="shared" si="23"/>
        <v>1.7926125477197576</v>
      </c>
      <c r="AA60" s="118">
        <f t="shared" si="24"/>
        <v>1.7926125477197576</v>
      </c>
      <c r="AB60" s="118">
        <v>1.7926125477197576</v>
      </c>
      <c r="AD60" s="143">
        <f t="shared" si="11"/>
        <v>0.98929202761278467</v>
      </c>
      <c r="AE60" s="143">
        <f t="shared" si="12"/>
        <v>0.999324323000783</v>
      </c>
      <c r="AF60" s="143">
        <f t="shared" si="13"/>
        <v>1.0098117672709335</v>
      </c>
    </row>
    <row r="61" spans="1:32" x14ac:dyDescent="0.25">
      <c r="A61" s="40">
        <v>73</v>
      </c>
      <c r="B61" s="64">
        <f t="shared" si="25"/>
        <v>31.606234107973862</v>
      </c>
      <c r="C61" s="64">
        <f t="shared" si="26"/>
        <v>31.220696730283173</v>
      </c>
      <c r="D61" s="116">
        <f t="shared" si="2"/>
        <v>31.413465419128517</v>
      </c>
      <c r="E61" s="117">
        <f t="shared" si="14"/>
        <v>1.4426903806724563</v>
      </c>
      <c r="F61" s="117">
        <f t="shared" si="15"/>
        <v>1.3439760097321058</v>
      </c>
      <c r="G61" s="116">
        <f t="shared" si="3"/>
        <v>1.3933331952022812</v>
      </c>
      <c r="H61" s="117">
        <f t="shared" si="16"/>
        <v>1.7679063320643911</v>
      </c>
      <c r="I61" s="117">
        <f t="shared" si="17"/>
        <v>1.7679063320643911</v>
      </c>
      <c r="J61" s="116">
        <v>1.7679063320643911</v>
      </c>
      <c r="K61" s="66">
        <f t="shared" si="27"/>
        <v>30.919813684917152</v>
      </c>
      <c r="L61" s="66">
        <f t="shared" si="28"/>
        <v>30.852744493011794</v>
      </c>
      <c r="M61" s="66">
        <f t="shared" si="4"/>
        <v>30.886279088964471</v>
      </c>
      <c r="N61" s="69">
        <f t="shared" si="31"/>
        <v>1.4281981208500569</v>
      </c>
      <c r="O61" s="69">
        <f t="shared" si="32"/>
        <v>1.3447479296891238</v>
      </c>
      <c r="P61" s="123">
        <f t="shared" si="5"/>
        <v>1.3864730252695905</v>
      </c>
      <c r="Q61" s="69">
        <f t="shared" si="33"/>
        <v>1.7907797025294863</v>
      </c>
      <c r="R61" s="69">
        <f t="shared" si="34"/>
        <v>1.7907797025294863</v>
      </c>
      <c r="S61" s="123">
        <f t="shared" si="8"/>
        <v>1.7907797025294863</v>
      </c>
      <c r="T61" s="67">
        <f t="shared" si="29"/>
        <v>30.233393261860446</v>
      </c>
      <c r="U61" s="67">
        <f t="shared" si="30"/>
        <v>30.484792255740416</v>
      </c>
      <c r="V61" s="119">
        <f t="shared" si="9"/>
        <v>30.359092758800429</v>
      </c>
      <c r="W61" s="118">
        <f t="shared" si="20"/>
        <v>1.4137058610276576</v>
      </c>
      <c r="X61" s="118">
        <f t="shared" si="21"/>
        <v>1.3455198496461416</v>
      </c>
      <c r="Y61" s="118">
        <f t="shared" si="22"/>
        <v>1.3796128553368996</v>
      </c>
      <c r="Z61" s="118">
        <f t="shared" si="23"/>
        <v>1.8136530729945817</v>
      </c>
      <c r="AA61" s="118">
        <f t="shared" si="24"/>
        <v>1.8136530729945817</v>
      </c>
      <c r="AB61" s="118">
        <v>1.8136530729945817</v>
      </c>
      <c r="AD61" s="143">
        <f t="shared" si="11"/>
        <v>0.98780185654597097</v>
      </c>
      <c r="AE61" s="143">
        <f t="shared" si="12"/>
        <v>0.99783086688073819</v>
      </c>
      <c r="AF61" s="143">
        <f t="shared" si="13"/>
        <v>1.0083152754870262</v>
      </c>
    </row>
    <row r="62" spans="1:32" x14ac:dyDescent="0.25">
      <c r="A62" s="40">
        <v>74</v>
      </c>
      <c r="B62" s="64">
        <f t="shared" si="25"/>
        <v>32.430961632489662</v>
      </c>
      <c r="C62" s="64">
        <f t="shared" si="26"/>
        <v>31.988018738737132</v>
      </c>
      <c r="D62" s="116">
        <f t="shared" si="2"/>
        <v>32.209490185613397</v>
      </c>
      <c r="E62" s="117">
        <f t="shared" si="14"/>
        <v>1.4733861071575922</v>
      </c>
      <c r="F62" s="117">
        <f t="shared" si="15"/>
        <v>1.3708304298878338</v>
      </c>
      <c r="G62" s="116">
        <f t="shared" si="3"/>
        <v>1.4221082685227131</v>
      </c>
      <c r="H62" s="117">
        <f t="shared" si="16"/>
        <v>1.7865125915648568</v>
      </c>
      <c r="I62" s="117">
        <f t="shared" si="17"/>
        <v>1.7865125915648568</v>
      </c>
      <c r="J62" s="116">
        <v>1.7865125915648568</v>
      </c>
      <c r="K62" s="66">
        <f t="shared" si="27"/>
        <v>31.726083374944011</v>
      </c>
      <c r="L62" s="66">
        <f t="shared" si="28"/>
        <v>31.610838845049081</v>
      </c>
      <c r="M62" s="66">
        <f t="shared" si="4"/>
        <v>31.668461109996546</v>
      </c>
      <c r="N62" s="69">
        <f t="shared" si="31"/>
        <v>1.4593381326160062</v>
      </c>
      <c r="O62" s="69">
        <f t="shared" si="32"/>
        <v>1.3723366272595423</v>
      </c>
      <c r="P62" s="123">
        <f t="shared" si="5"/>
        <v>1.4158373799377744</v>
      </c>
      <c r="Q62" s="69">
        <f t="shared" si="33"/>
        <v>1.8105375907482104</v>
      </c>
      <c r="R62" s="69">
        <f t="shared" si="34"/>
        <v>1.8105375907482104</v>
      </c>
      <c r="S62" s="123">
        <f t="shared" si="8"/>
        <v>1.8105375907482104</v>
      </c>
      <c r="T62" s="67">
        <f t="shared" si="29"/>
        <v>31.021205117398356</v>
      </c>
      <c r="U62" s="67">
        <f t="shared" si="30"/>
        <v>31.233658951361033</v>
      </c>
      <c r="V62" s="119">
        <f t="shared" si="9"/>
        <v>31.127432034379694</v>
      </c>
      <c r="W62" s="118">
        <f t="shared" si="20"/>
        <v>1.4452901580744202</v>
      </c>
      <c r="X62" s="118">
        <f t="shared" si="21"/>
        <v>1.3738428246312511</v>
      </c>
      <c r="Y62" s="118">
        <f t="shared" si="22"/>
        <v>1.4095664913528356</v>
      </c>
      <c r="Z62" s="118">
        <f t="shared" si="23"/>
        <v>1.8345625899315643</v>
      </c>
      <c r="AA62" s="118">
        <f t="shared" si="24"/>
        <v>1.8345625899315643</v>
      </c>
      <c r="AB62" s="118">
        <v>1.8345625899315643</v>
      </c>
      <c r="AD62" s="143">
        <f t="shared" si="11"/>
        <v>0.98634197472242746</v>
      </c>
      <c r="AE62" s="143">
        <f t="shared" si="12"/>
        <v>0.99636751475015206</v>
      </c>
      <c r="AF62" s="143">
        <f t="shared" si="13"/>
        <v>1.0068486647491177</v>
      </c>
    </row>
    <row r="63" spans="1:32" x14ac:dyDescent="0.25">
      <c r="A63" s="40">
        <v>75</v>
      </c>
      <c r="B63" s="64">
        <f t="shared" si="25"/>
        <v>33.264207095548002</v>
      </c>
      <c r="C63" s="64">
        <f t="shared" si="26"/>
        <v>32.762316169765811</v>
      </c>
      <c r="D63" s="116">
        <f t="shared" si="2"/>
        <v>33.013261632656906</v>
      </c>
      <c r="E63" s="117">
        <f t="shared" si="14"/>
        <v>1.5039612261484721</v>
      </c>
      <c r="F63" s="117">
        <f t="shared" si="15"/>
        <v>1.3975633416583864</v>
      </c>
      <c r="G63" s="116">
        <f t="shared" si="3"/>
        <v>1.4507622839034293</v>
      </c>
      <c r="H63" s="117">
        <f t="shared" si="16"/>
        <v>1.8049437924670366</v>
      </c>
      <c r="I63" s="117">
        <f t="shared" si="17"/>
        <v>1.8049437924670366</v>
      </c>
      <c r="J63" s="116">
        <v>1.8049437924670366</v>
      </c>
      <c r="K63" s="66">
        <f t="shared" si="27"/>
        <v>32.540699792439007</v>
      </c>
      <c r="L63" s="66">
        <f t="shared" si="28"/>
        <v>32.375845296494745</v>
      </c>
      <c r="M63" s="66">
        <f t="shared" si="4"/>
        <v>32.45827254446688</v>
      </c>
      <c r="N63" s="69">
        <f t="shared" si="31"/>
        <v>1.4903929926530823</v>
      </c>
      <c r="O63" s="69">
        <f t="shared" si="32"/>
        <v>1.3998350788857197</v>
      </c>
      <c r="P63" s="123">
        <f t="shared" si="5"/>
        <v>1.445114035769401</v>
      </c>
      <c r="Q63" s="69">
        <f t="shared" si="33"/>
        <v>1.8301403563334739</v>
      </c>
      <c r="R63" s="69">
        <f t="shared" si="34"/>
        <v>1.8301403563334739</v>
      </c>
      <c r="S63" s="123">
        <f t="shared" si="8"/>
        <v>1.8301403563334739</v>
      </c>
      <c r="T63" s="67">
        <f t="shared" si="29"/>
        <v>31.817192489330008</v>
      </c>
      <c r="U63" s="67">
        <f t="shared" si="30"/>
        <v>31.989374423223673</v>
      </c>
      <c r="V63" s="119">
        <f t="shared" si="9"/>
        <v>31.903283456276839</v>
      </c>
      <c r="W63" s="118">
        <f t="shared" si="20"/>
        <v>1.4768247591576924</v>
      </c>
      <c r="X63" s="118">
        <f t="shared" si="21"/>
        <v>1.4021068161130532</v>
      </c>
      <c r="Y63" s="118">
        <f t="shared" si="22"/>
        <v>1.4394657876353727</v>
      </c>
      <c r="Z63" s="118">
        <f t="shared" si="23"/>
        <v>1.8553369201999113</v>
      </c>
      <c r="AA63" s="118">
        <f t="shared" si="24"/>
        <v>1.8553369201999113</v>
      </c>
      <c r="AB63" s="118">
        <v>1.8553369201999113</v>
      </c>
      <c r="AD63" s="143">
        <f t="shared" si="11"/>
        <v>0.98491198289078219</v>
      </c>
      <c r="AE63" s="143">
        <f t="shared" si="12"/>
        <v>0.99493389825677425</v>
      </c>
      <c r="AF63" s="143">
        <f t="shared" si="13"/>
        <v>1.0054116004720217</v>
      </c>
    </row>
    <row r="64" spans="1:32" x14ac:dyDescent="0.25">
      <c r="A64" s="40">
        <v>76</v>
      </c>
      <c r="B64" s="64">
        <f t="shared" si="25"/>
        <v>34.105804008737486</v>
      </c>
      <c r="C64" s="64">
        <f t="shared" si="26"/>
        <v>33.543449708871115</v>
      </c>
      <c r="D64" s="116">
        <f t="shared" si="2"/>
        <v>33.824626858804301</v>
      </c>
      <c r="E64" s="117">
        <f t="shared" si="14"/>
        <v>1.534396417204497</v>
      </c>
      <c r="F64" s="117">
        <f t="shared" si="15"/>
        <v>1.4241598144878096</v>
      </c>
      <c r="G64" s="116">
        <f t="shared" si="3"/>
        <v>1.4792781158461534</v>
      </c>
      <c r="H64" s="117">
        <f t="shared" si="16"/>
        <v>1.8231963463238492</v>
      </c>
      <c r="I64" s="117">
        <f t="shared" si="17"/>
        <v>1.8231963463238492</v>
      </c>
      <c r="J64" s="116">
        <v>1.8231963463238492</v>
      </c>
      <c r="K64" s="66">
        <f t="shared" si="27"/>
        <v>33.36350068476883</v>
      </c>
      <c r="L64" s="66">
        <f t="shared" si="28"/>
        <v>33.147626916584194</v>
      </c>
      <c r="M64" s="66">
        <f t="shared" si="4"/>
        <v>33.255563800676512</v>
      </c>
      <c r="N64" s="69">
        <f t="shared" si="31"/>
        <v>1.5213436184972826</v>
      </c>
      <c r="O64" s="69">
        <f t="shared" si="32"/>
        <v>1.4272283843680684</v>
      </c>
      <c r="P64" s="123">
        <f t="shared" si="5"/>
        <v>1.4742860014326755</v>
      </c>
      <c r="Q64" s="69">
        <f t="shared" si="33"/>
        <v>1.8495842932161954</v>
      </c>
      <c r="R64" s="69">
        <f t="shared" si="34"/>
        <v>1.8495842932161954</v>
      </c>
      <c r="S64" s="123">
        <f t="shared" si="8"/>
        <v>1.8495842932161954</v>
      </c>
      <c r="T64" s="67">
        <f t="shared" si="29"/>
        <v>32.621197360800174</v>
      </c>
      <c r="U64" s="67">
        <f t="shared" si="30"/>
        <v>32.751804124297273</v>
      </c>
      <c r="V64" s="119">
        <f t="shared" si="9"/>
        <v>32.686500742548724</v>
      </c>
      <c r="W64" s="118">
        <f t="shared" si="20"/>
        <v>1.508290819790068</v>
      </c>
      <c r="X64" s="118">
        <f t="shared" si="21"/>
        <v>1.4302969542483275</v>
      </c>
      <c r="Y64" s="118">
        <f t="shared" si="22"/>
        <v>1.4692938870191976</v>
      </c>
      <c r="Z64" s="118">
        <f t="shared" si="23"/>
        <v>1.8759722401085419</v>
      </c>
      <c r="AA64" s="118">
        <f t="shared" si="24"/>
        <v>1.8759722401085419</v>
      </c>
      <c r="AB64" s="118">
        <v>1.8759722401085419</v>
      </c>
      <c r="AD64" s="143">
        <f t="shared" si="11"/>
        <v>0.98351147799587713</v>
      </c>
      <c r="AE64" s="143">
        <f t="shared" si="12"/>
        <v>0.99352964276068345</v>
      </c>
      <c r="AF64" s="143">
        <f t="shared" si="13"/>
        <v>1.0040037391041337</v>
      </c>
    </row>
    <row r="65" spans="1:32" x14ac:dyDescent="0.25">
      <c r="A65" s="40">
        <v>77</v>
      </c>
      <c r="B65" s="64">
        <f t="shared" si="25"/>
        <v>34.955584512159476</v>
      </c>
      <c r="C65" s="64">
        <f t="shared" si="26"/>
        <v>34.331279675647657</v>
      </c>
      <c r="D65" s="116">
        <f t="shared" si="2"/>
        <v>34.64343209390357</v>
      </c>
      <c r="E65" s="117">
        <f t="shared" si="14"/>
        <v>1.5646728719454546</v>
      </c>
      <c r="F65" s="117">
        <f t="shared" si="15"/>
        <v>1.4506053878113083</v>
      </c>
      <c r="G65" s="116">
        <f t="shared" si="3"/>
        <v>1.5076391298783816</v>
      </c>
      <c r="H65" s="117">
        <f t="shared" si="16"/>
        <v>1.8412670867884802</v>
      </c>
      <c r="I65" s="117">
        <f t="shared" si="17"/>
        <v>1.8412670867884802</v>
      </c>
      <c r="J65" s="116">
        <v>1.8412670867884802</v>
      </c>
      <c r="K65" s="66">
        <f t="shared" si="27"/>
        <v>34.194322447663325</v>
      </c>
      <c r="L65" s="66">
        <f t="shared" si="28"/>
        <v>33.926046404270963</v>
      </c>
      <c r="M65" s="66">
        <f t="shared" si="4"/>
        <v>34.060184425967144</v>
      </c>
      <c r="N65" s="69">
        <f t="shared" si="31"/>
        <v>1.5521713707044107</v>
      </c>
      <c r="O65" s="69">
        <f t="shared" si="32"/>
        <v>1.4545020583690329</v>
      </c>
      <c r="P65" s="123">
        <f t="shared" si="5"/>
        <v>1.5033367145367218</v>
      </c>
      <c r="Q65" s="69">
        <f t="shared" si="33"/>
        <v>1.8688660820399965</v>
      </c>
      <c r="R65" s="69">
        <f t="shared" si="34"/>
        <v>1.8688660820399965</v>
      </c>
      <c r="S65" s="123">
        <f t="shared" si="8"/>
        <v>1.8688660820399965</v>
      </c>
      <c r="T65" s="67">
        <f t="shared" si="29"/>
        <v>33.433060383167181</v>
      </c>
      <c r="U65" s="67">
        <f t="shared" si="30"/>
        <v>33.520813132894261</v>
      </c>
      <c r="V65" s="119">
        <f t="shared" si="9"/>
        <v>33.476936758030718</v>
      </c>
      <c r="W65" s="118">
        <f t="shared" si="20"/>
        <v>1.5396698694633666</v>
      </c>
      <c r="X65" s="118">
        <f t="shared" si="21"/>
        <v>1.4583987289267575</v>
      </c>
      <c r="Y65" s="118">
        <f t="shared" si="22"/>
        <v>1.499034299195062</v>
      </c>
      <c r="Z65" s="118">
        <f t="shared" si="23"/>
        <v>1.8964650772915128</v>
      </c>
      <c r="AA65" s="118">
        <f t="shared" si="24"/>
        <v>1.8964650772915128</v>
      </c>
      <c r="AB65" s="118">
        <v>1.8964650772915128</v>
      </c>
      <c r="AC65" s="31"/>
      <c r="AD65" s="143">
        <f t="shared" si="11"/>
        <v>0.98214005443694841</v>
      </c>
      <c r="AE65" s="143">
        <f t="shared" si="12"/>
        <v>0.992154368790229</v>
      </c>
      <c r="AF65" s="143">
        <f t="shared" si="13"/>
        <v>1.0026247297950404</v>
      </c>
    </row>
    <row r="66" spans="1:32" x14ac:dyDescent="0.25">
      <c r="A66" s="40">
        <v>78</v>
      </c>
      <c r="B66" s="64">
        <f t="shared" si="25"/>
        <v>35.813379484736039</v>
      </c>
      <c r="C66" s="64">
        <f t="shared" si="26"/>
        <v>35.125666087424563</v>
      </c>
      <c r="D66" s="116">
        <f t="shared" si="2"/>
        <v>35.469522786080304</v>
      </c>
      <c r="E66" s="117">
        <f t="shared" si="14"/>
        <v>1.5947723244794512</v>
      </c>
      <c r="F66" s="117">
        <f t="shared" si="15"/>
        <v>1.4768860916018836</v>
      </c>
      <c r="G66" s="116">
        <f t="shared" si="3"/>
        <v>1.5358292080406675</v>
      </c>
      <c r="H66" s="117">
        <f t="shared" si="16"/>
        <v>1.8591532655982173</v>
      </c>
      <c r="I66" s="117">
        <f t="shared" si="17"/>
        <v>1.8591532655982173</v>
      </c>
      <c r="J66" s="116">
        <v>1.8591532655982173</v>
      </c>
      <c r="K66" s="66">
        <f t="shared" si="27"/>
        <v>35.033000232637534</v>
      </c>
      <c r="L66" s="66">
        <f t="shared" si="28"/>
        <v>34.710966150533253</v>
      </c>
      <c r="M66" s="66">
        <f t="shared" si="4"/>
        <v>34.871983191585393</v>
      </c>
      <c r="N66" s="69">
        <f t="shared" si="31"/>
        <v>1.582858081974742</v>
      </c>
      <c r="O66" s="69">
        <f t="shared" si="32"/>
        <v>1.4816420501851932</v>
      </c>
      <c r="P66" s="123">
        <f t="shared" si="5"/>
        <v>1.5322500660799676</v>
      </c>
      <c r="Q66" s="69">
        <f t="shared" si="33"/>
        <v>1.8879827863573215</v>
      </c>
      <c r="R66" s="69">
        <f t="shared" si="34"/>
        <v>1.8879827863573215</v>
      </c>
      <c r="S66" s="123">
        <f t="shared" si="8"/>
        <v>1.8879827863573215</v>
      </c>
      <c r="T66" s="67">
        <f t="shared" si="29"/>
        <v>34.252620980539021</v>
      </c>
      <c r="U66" s="67">
        <f t="shared" si="30"/>
        <v>34.296266213641942</v>
      </c>
      <c r="V66" s="119">
        <f t="shared" si="9"/>
        <v>34.274443597090482</v>
      </c>
      <c r="W66" s="118">
        <f t="shared" si="20"/>
        <v>1.570943839470033</v>
      </c>
      <c r="X66" s="118">
        <f t="shared" si="21"/>
        <v>1.4863980087685029</v>
      </c>
      <c r="Y66" s="118">
        <f t="shared" si="22"/>
        <v>1.528670924119268</v>
      </c>
      <c r="Z66" s="118">
        <f t="shared" si="23"/>
        <v>1.916812307116426</v>
      </c>
      <c r="AA66" s="118">
        <f t="shared" si="24"/>
        <v>1.916812307116426</v>
      </c>
      <c r="AB66" s="118">
        <v>1.916812307116426</v>
      </c>
      <c r="AD66" s="143">
        <f t="shared" si="11"/>
        <v>0.98079730516343522</v>
      </c>
      <c r="AE66" s="143">
        <f t="shared" si="12"/>
        <v>0.99080769331870511</v>
      </c>
      <c r="AF66" s="143">
        <f t="shared" si="13"/>
        <v>1.0012742158659251</v>
      </c>
    </row>
    <row r="67" spans="1:32" x14ac:dyDescent="0.25">
      <c r="A67" s="40">
        <v>79</v>
      </c>
      <c r="B67" s="64">
        <f t="shared" si="25"/>
        <v>36.679018653543672</v>
      </c>
      <c r="C67" s="64">
        <f t="shared" si="26"/>
        <v>35.926468721988002</v>
      </c>
      <c r="D67" s="116">
        <f t="shared" si="2"/>
        <v>36.30274368776584</v>
      </c>
      <c r="E67" s="117">
        <f t="shared" si="14"/>
        <v>1.624677079543694</v>
      </c>
      <c r="F67" s="117">
        <f t="shared" si="15"/>
        <v>1.5029884650500955</v>
      </c>
      <c r="G67" s="116">
        <f t="shared" si="3"/>
        <v>1.5638327722968948</v>
      </c>
      <c r="H67" s="117">
        <f t="shared" si="16"/>
        <v>1.8768525479058344</v>
      </c>
      <c r="I67" s="117">
        <f t="shared" si="17"/>
        <v>1.8768525479058344</v>
      </c>
      <c r="J67" s="116">
        <v>1.8768525479058344</v>
      </c>
      <c r="K67" s="66">
        <f t="shared" si="27"/>
        <v>35.879368053479084</v>
      </c>
      <c r="L67" s="66">
        <f t="shared" si="28"/>
        <v>35.50224829979156</v>
      </c>
      <c r="M67" s="66">
        <f t="shared" si="4"/>
        <v>35.690808176635322</v>
      </c>
      <c r="N67" s="69">
        <f t="shared" si="31"/>
        <v>1.6133860843115952</v>
      </c>
      <c r="O67" s="69">
        <f t="shared" si="32"/>
        <v>1.5086347619095599</v>
      </c>
      <c r="P67" s="123">
        <f t="shared" si="5"/>
        <v>1.5610104231105777</v>
      </c>
      <c r="Q67" s="69">
        <f t="shared" si="33"/>
        <v>1.9069318483447835</v>
      </c>
      <c r="R67" s="69">
        <f t="shared" si="34"/>
        <v>1.9069318483447835</v>
      </c>
      <c r="S67" s="123">
        <f t="shared" si="8"/>
        <v>1.9069318483447835</v>
      </c>
      <c r="T67" s="67">
        <f t="shared" si="29"/>
        <v>35.079717453414496</v>
      </c>
      <c r="U67" s="67">
        <f t="shared" si="30"/>
        <v>35.078027877595119</v>
      </c>
      <c r="V67" s="119">
        <f t="shared" si="9"/>
        <v>35.078872665504804</v>
      </c>
      <c r="W67" s="118">
        <f t="shared" si="20"/>
        <v>1.6020950890794965</v>
      </c>
      <c r="X67" s="118">
        <f t="shared" si="21"/>
        <v>1.5142810587690243</v>
      </c>
      <c r="Y67" s="118">
        <f t="shared" si="22"/>
        <v>1.5581880739242604</v>
      </c>
      <c r="Z67" s="118">
        <f t="shared" si="23"/>
        <v>1.9370111487837323</v>
      </c>
      <c r="AA67" s="118">
        <f t="shared" si="24"/>
        <v>1.9370111487837323</v>
      </c>
      <c r="AB67" s="118">
        <v>1.9370111487837323</v>
      </c>
      <c r="AD67" s="143">
        <f t="shared" si="11"/>
        <v>0.9794828226277269</v>
      </c>
      <c r="AE67" s="143">
        <f t="shared" si="12"/>
        <v>0.98948923088262264</v>
      </c>
      <c r="AF67" s="143">
        <f t="shared" si="13"/>
        <v>0.9999518361052474</v>
      </c>
    </row>
    <row r="68" spans="1:32" x14ac:dyDescent="0.25">
      <c r="A68" s="40">
        <v>80</v>
      </c>
      <c r="B68" s="64">
        <f t="shared" si="25"/>
        <v>37.552330702094132</v>
      </c>
      <c r="C68" s="64">
        <f t="shared" si="26"/>
        <v>36.733547179355277</v>
      </c>
      <c r="D68" s="116">
        <f t="shared" si="2"/>
        <v>37.142938940724704</v>
      </c>
      <c r="E68" s="117">
        <f t="shared" si="14"/>
        <v>1.6543700382938253</v>
      </c>
      <c r="F68" s="117">
        <f t="shared" si="15"/>
        <v>1.5288995733392456</v>
      </c>
      <c r="G68" s="116">
        <f t="shared" si="3"/>
        <v>1.5916348058165355</v>
      </c>
      <c r="H68" s="117">
        <f t="shared" si="16"/>
        <v>1.8943630069455475</v>
      </c>
      <c r="I68" s="117">
        <f t="shared" si="17"/>
        <v>1.8943630069455475</v>
      </c>
      <c r="J68" s="116">
        <v>1.8943630069455475</v>
      </c>
      <c r="K68" s="66">
        <f t="shared" si="27"/>
        <v>36.733258891724645</v>
      </c>
      <c r="L68" s="66">
        <f t="shared" si="28"/>
        <v>36.299754810408871</v>
      </c>
      <c r="M68" s="66">
        <f t="shared" si="4"/>
        <v>36.516506851066758</v>
      </c>
      <c r="N68" s="69">
        <f t="shared" si="31"/>
        <v>1.6437382341540032</v>
      </c>
      <c r="O68" s="69">
        <f t="shared" si="32"/>
        <v>1.5354670649483584</v>
      </c>
      <c r="P68" s="123">
        <f t="shared" si="5"/>
        <v>1.5896026495511808</v>
      </c>
      <c r="Q68" s="69">
        <f t="shared" si="33"/>
        <v>1.9257110840186893</v>
      </c>
      <c r="R68" s="69">
        <f t="shared" si="34"/>
        <v>1.9257110840186893</v>
      </c>
      <c r="S68" s="123">
        <f t="shared" si="8"/>
        <v>1.9257110840186893</v>
      </c>
      <c r="T68" s="67">
        <f t="shared" si="29"/>
        <v>35.914187081355166</v>
      </c>
      <c r="U68" s="67">
        <f t="shared" si="30"/>
        <v>35.865962441462457</v>
      </c>
      <c r="V68" s="119">
        <f t="shared" si="9"/>
        <v>35.890074761408812</v>
      </c>
      <c r="W68" s="118">
        <f t="shared" si="20"/>
        <v>1.6331064300141809</v>
      </c>
      <c r="X68" s="118">
        <f t="shared" si="21"/>
        <v>1.5420345565574713</v>
      </c>
      <c r="Y68" s="118">
        <f t="shared" si="22"/>
        <v>1.5875704932858261</v>
      </c>
      <c r="Z68" s="118">
        <f t="shared" si="23"/>
        <v>1.9570591610918311</v>
      </c>
      <c r="AA68" s="118">
        <f t="shared" si="24"/>
        <v>1.9570591610918311</v>
      </c>
      <c r="AB68" s="118">
        <v>1.9570591610918311</v>
      </c>
      <c r="AD68" s="143">
        <f t="shared" si="11"/>
        <v>0.97819619961183413</v>
      </c>
      <c r="AE68" s="143">
        <f t="shared" si="12"/>
        <v>0.9881985945599443</v>
      </c>
      <c r="AF68" s="143">
        <f t="shared" si="13"/>
        <v>0.99865722590954187</v>
      </c>
    </row>
    <row r="69" spans="1:32" x14ac:dyDescent="0.25">
      <c r="A69" s="40">
        <v>81</v>
      </c>
      <c r="B69" s="64">
        <f t="shared" si="25"/>
        <v>38.433143377484747</v>
      </c>
      <c r="C69" s="64">
        <f t="shared" si="26"/>
        <v>37.546760942573542</v>
      </c>
      <c r="D69" s="116">
        <f t="shared" si="2"/>
        <v>37.989952160029148</v>
      </c>
      <c r="E69" s="117">
        <f t="shared" si="14"/>
        <v>1.6838347216887615</v>
      </c>
      <c r="F69" s="117">
        <f t="shared" si="15"/>
        <v>1.5546070224918642</v>
      </c>
      <c r="G69" s="116">
        <f t="shared" si="3"/>
        <v>1.6192208720903127</v>
      </c>
      <c r="H69" s="117">
        <f t="shared" si="16"/>
        <v>1.9116831180273706</v>
      </c>
      <c r="I69" s="117">
        <f t="shared" si="17"/>
        <v>1.9116831180273706</v>
      </c>
      <c r="J69" s="116">
        <v>1.9116831180273706</v>
      </c>
      <c r="K69" s="66">
        <f t="shared" si="27"/>
        <v>37.594504801049801</v>
      </c>
      <c r="L69" s="66">
        <f t="shared" si="28"/>
        <v>37.103347514246991</v>
      </c>
      <c r="M69" s="66">
        <f t="shared" si="4"/>
        <v>37.348926157648393</v>
      </c>
      <c r="N69" s="69">
        <f t="shared" si="31"/>
        <v>1.6738979354329069</v>
      </c>
      <c r="O69" s="69">
        <f t="shared" si="32"/>
        <v>1.5621263148678337</v>
      </c>
      <c r="P69" s="123">
        <f t="shared" si="5"/>
        <v>1.6180121251503703</v>
      </c>
      <c r="Q69" s="69">
        <f t="shared" si="33"/>
        <v>1.9443186779385973</v>
      </c>
      <c r="R69" s="69">
        <f t="shared" si="34"/>
        <v>1.9443186779385973</v>
      </c>
      <c r="S69" s="123">
        <f t="shared" si="8"/>
        <v>1.9443186779385973</v>
      </c>
      <c r="T69" s="67">
        <f t="shared" si="29"/>
        <v>36.755866224614856</v>
      </c>
      <c r="U69" s="67">
        <f t="shared" si="30"/>
        <v>36.65993408592044</v>
      </c>
      <c r="V69" s="119">
        <f t="shared" si="9"/>
        <v>36.707900155267652</v>
      </c>
      <c r="W69" s="118">
        <f t="shared" si="20"/>
        <v>1.6639611491770523</v>
      </c>
      <c r="X69" s="118">
        <f t="shared" si="21"/>
        <v>1.5696456072438032</v>
      </c>
      <c r="Y69" s="118">
        <f t="shared" si="22"/>
        <v>1.6168033782104279</v>
      </c>
      <c r="Z69" s="118">
        <f t="shared" si="23"/>
        <v>1.9769542378498239</v>
      </c>
      <c r="AA69" s="118">
        <f t="shared" si="24"/>
        <v>1.9769542378498239</v>
      </c>
      <c r="AB69" s="118">
        <v>1.9769542378498239</v>
      </c>
      <c r="AD69" s="143">
        <f t="shared" si="11"/>
        <v>0.97693702994300291</v>
      </c>
      <c r="AE69" s="143">
        <f t="shared" si="12"/>
        <v>0.98693539682456211</v>
      </c>
      <c r="AF69" s="143">
        <f t="shared" si="13"/>
        <v>0.99739001828692664</v>
      </c>
    </row>
    <row r="70" spans="1:32" x14ac:dyDescent="0.25">
      <c r="A70" s="40">
        <v>82</v>
      </c>
      <c r="B70" s="64">
        <f t="shared" si="25"/>
        <v>39.321283596343449</v>
      </c>
      <c r="C70" s="64">
        <f t="shared" si="26"/>
        <v>38.365969437516476</v>
      </c>
      <c r="D70" s="116">
        <f t="shared" si="2"/>
        <v>38.843626516929959</v>
      </c>
      <c r="E70" s="117">
        <f t="shared" si="14"/>
        <v>1.7130552914358042</v>
      </c>
      <c r="F70" s="117">
        <f t="shared" si="15"/>
        <v>1.5800989722709766</v>
      </c>
      <c r="G70" s="116">
        <f t="shared" si="3"/>
        <v>1.6465771318533904</v>
      </c>
      <c r="H70" s="117">
        <f t="shared" si="16"/>
        <v>1.9288117518618328</v>
      </c>
      <c r="I70" s="117">
        <f t="shared" si="17"/>
        <v>1.9288117518618328</v>
      </c>
      <c r="J70" s="116">
        <v>1.9288117518618328</v>
      </c>
      <c r="K70" s="66">
        <f t="shared" si="27"/>
        <v>38.462937010499388</v>
      </c>
      <c r="L70" s="66">
        <f t="shared" si="28"/>
        <v>37.912888175253052</v>
      </c>
      <c r="M70" s="66">
        <f t="shared" si="4"/>
        <v>38.187912592876216</v>
      </c>
      <c r="N70" s="69">
        <f t="shared" si="31"/>
        <v>1.7038491605143689</v>
      </c>
      <c r="O70" s="69">
        <f t="shared" si="32"/>
        <v>1.5886003645533195</v>
      </c>
      <c r="P70" s="123">
        <f t="shared" si="5"/>
        <v>1.6462247625338442</v>
      </c>
      <c r="Q70" s="69">
        <f t="shared" si="33"/>
        <v>1.9627531773935758</v>
      </c>
      <c r="R70" s="69">
        <f t="shared" si="34"/>
        <v>1.9627531773935758</v>
      </c>
      <c r="S70" s="123">
        <f t="shared" si="8"/>
        <v>1.9627531773935758</v>
      </c>
      <c r="T70" s="67">
        <f t="shared" si="29"/>
        <v>37.604590424655335</v>
      </c>
      <c r="U70" s="67">
        <f t="shared" si="30"/>
        <v>37.459806912989627</v>
      </c>
      <c r="V70" s="119">
        <f t="shared" si="9"/>
        <v>37.532198668822481</v>
      </c>
      <c r="W70" s="118">
        <f t="shared" si="20"/>
        <v>1.6946430295929333</v>
      </c>
      <c r="X70" s="118">
        <f t="shared" si="21"/>
        <v>1.5971017568356627</v>
      </c>
      <c r="Y70" s="118">
        <f t="shared" si="22"/>
        <v>1.645872393214298</v>
      </c>
      <c r="Z70" s="118">
        <f t="shared" si="23"/>
        <v>1.9966946029253188</v>
      </c>
      <c r="AA70" s="118">
        <f t="shared" si="24"/>
        <v>1.9966946029253188</v>
      </c>
      <c r="AB70" s="118">
        <v>1.9966946029253188</v>
      </c>
      <c r="AD70" s="143">
        <f t="shared" si="11"/>
        <v>0.97570490911146635</v>
      </c>
      <c r="AE70" s="143">
        <f t="shared" si="12"/>
        <v>0.98569925029136007</v>
      </c>
      <c r="AF70" s="143">
        <f t="shared" si="13"/>
        <v>0.99614984473888113</v>
      </c>
    </row>
    <row r="71" spans="1:32" x14ac:dyDescent="0.25">
      <c r="A71" s="40">
        <v>83</v>
      </c>
      <c r="B71" s="64">
        <f t="shared" si="25"/>
        <v>40.216577549494851</v>
      </c>
      <c r="C71" s="64">
        <f t="shared" si="26"/>
        <v>39.191032091654229</v>
      </c>
      <c r="D71" s="116">
        <f t="shared" ref="D71:D134" si="35">AVERAGE(B71:C71)</f>
        <v>39.70380482057454</v>
      </c>
      <c r="E71" s="117">
        <f t="shared" si="14"/>
        <v>1.7420165684711368</v>
      </c>
      <c r="F71" s="117">
        <f t="shared" si="15"/>
        <v>1.6053641471335631</v>
      </c>
      <c r="G71" s="116">
        <f t="shared" ref="G71:G134" si="36">AVERAGE(E71:F71)</f>
        <v>1.6736903578023501</v>
      </c>
      <c r="H71" s="117">
        <f t="shared" si="16"/>
        <v>1.9457481672240746</v>
      </c>
      <c r="I71" s="117">
        <f t="shared" si="17"/>
        <v>1.9457481672240746</v>
      </c>
      <c r="J71" s="116">
        <v>1.9457481672240746</v>
      </c>
      <c r="K71" s="66">
        <f t="shared" si="27"/>
        <v>39.338386026486958</v>
      </c>
      <c r="L71" s="66">
        <f t="shared" si="28"/>
        <v>38.728238547051909</v>
      </c>
      <c r="M71" s="66">
        <f t="shared" ref="M71:M134" si="37">AVERAGE(K71:L71)</f>
        <v>39.03331228676943</v>
      </c>
      <c r="N71" s="69">
        <f t="shared" si="31"/>
        <v>1.7335764690027899</v>
      </c>
      <c r="O71" s="69">
        <f t="shared" si="32"/>
        <v>1.6148775756735172</v>
      </c>
      <c r="P71" s="123">
        <f t="shared" ref="P71:P134" si="38">AVERAGE(N71:O71)</f>
        <v>1.6742270223381537</v>
      </c>
      <c r="Q71" s="69">
        <f t="shared" si="33"/>
        <v>1.9810134860714839</v>
      </c>
      <c r="R71" s="69">
        <f t="shared" si="34"/>
        <v>1.9810134860714839</v>
      </c>
      <c r="S71" s="123">
        <f t="shared" ref="S71:S134" si="39">AVERAGE(Q71:R71)</f>
        <v>1.9810134860714839</v>
      </c>
      <c r="T71" s="67">
        <f t="shared" si="29"/>
        <v>38.460194503479066</v>
      </c>
      <c r="U71" s="67">
        <f t="shared" si="30"/>
        <v>38.265445002449589</v>
      </c>
      <c r="V71" s="119">
        <f t="shared" ref="V71:V134" si="40">AVERAGE(T71:U71)</f>
        <v>38.362819752964327</v>
      </c>
      <c r="W71" s="118">
        <f t="shared" si="20"/>
        <v>1.725136369534443</v>
      </c>
      <c r="X71" s="118">
        <f t="shared" si="21"/>
        <v>1.624391004213471</v>
      </c>
      <c r="Y71" s="118">
        <f t="shared" ref="Y71:Y134" si="41">AVERAGE(W71:X71)</f>
        <v>1.674763686873957</v>
      </c>
      <c r="Z71" s="118">
        <f t="shared" si="23"/>
        <v>2.0162788049188931</v>
      </c>
      <c r="AA71" s="118">
        <f t="shared" si="24"/>
        <v>2.0162788049188931</v>
      </c>
      <c r="AB71" s="118">
        <v>2.0162788049188931</v>
      </c>
      <c r="AD71" s="143">
        <f t="shared" ref="AD71:AD134" si="42">C71/B71</f>
        <v>0.97449943480201728</v>
      </c>
      <c r="AE71" s="143">
        <f t="shared" ref="AE71:AE134" si="43">L71/K71</f>
        <v>0.98448976836456303</v>
      </c>
      <c r="AF71" s="143">
        <f t="shared" ref="AF71:AF134" si="44">U71/T71</f>
        <v>0.99493633603408171</v>
      </c>
    </row>
    <row r="72" spans="1:32" x14ac:dyDescent="0.25">
      <c r="A72" s="40">
        <v>84</v>
      </c>
      <c r="B72" s="64">
        <f t="shared" si="25"/>
        <v>41.118850805276594</v>
      </c>
      <c r="C72" s="64">
        <f t="shared" si="26"/>
        <v>40.021808391772794</v>
      </c>
      <c r="D72" s="116">
        <f t="shared" si="35"/>
        <v>40.570329598524694</v>
      </c>
      <c r="E72" s="65">
        <f t="shared" ref="E72:E80" si="45" xml:space="preserve"> 3.0763 * (1-EXP(-(EXP(-5.0736)*($B71^1.3308))))</f>
        <v>1.7673309583630081</v>
      </c>
      <c r="F72" s="117">
        <f t="shared" si="15"/>
        <v>1.6303918452414385</v>
      </c>
      <c r="G72" s="116">
        <f t="shared" si="36"/>
        <v>1.6988614018022234</v>
      </c>
      <c r="H72" s="65">
        <f t="shared" ref="H72:H80" si="46">E72/(B72-B71)</f>
        <v>1.9587535672125906</v>
      </c>
      <c r="I72" s="117">
        <f t="shared" ref="I72" si="47">J72</f>
        <v>1.9624920029721069</v>
      </c>
      <c r="J72" s="116">
        <v>1.9624920029721069</v>
      </c>
      <c r="K72" s="66">
        <f t="shared" si="27"/>
        <v>40.220681733493848</v>
      </c>
      <c r="L72" s="66">
        <f t="shared" si="28"/>
        <v>39.549260429520963</v>
      </c>
      <c r="M72" s="66">
        <f t="shared" si="37"/>
        <v>39.884971081507402</v>
      </c>
      <c r="N72" s="69">
        <f t="shared" si="31"/>
        <v>1.7613784790878886</v>
      </c>
      <c r="O72" s="69">
        <f t="shared" si="32"/>
        <v>1.6409468284500794</v>
      </c>
      <c r="P72" s="123">
        <f t="shared" si="38"/>
        <v>1.7011626537689839</v>
      </c>
      <c r="Q72" s="69">
        <f t="shared" si="33"/>
        <v>1.9972296393386992</v>
      </c>
      <c r="R72" s="69">
        <f t="shared" si="34"/>
        <v>1.9990988572184576</v>
      </c>
      <c r="S72" s="123">
        <f t="shared" si="39"/>
        <v>1.9981642482785784</v>
      </c>
      <c r="T72" s="67">
        <f t="shared" si="29"/>
        <v>39.322512661711102</v>
      </c>
      <c r="U72" s="67">
        <f t="shared" si="30"/>
        <v>39.076712467269132</v>
      </c>
      <c r="V72" s="119">
        <f t="shared" si="40"/>
        <v>39.199612564490117</v>
      </c>
      <c r="W72" s="118">
        <f t="shared" ref="W72:W73" si="48">(T72-T71)*Z72</f>
        <v>1.755425999812769</v>
      </c>
      <c r="X72" s="118">
        <f t="shared" ref="X72:X73" si="49">(U72-U71)*AA72</f>
        <v>1.6515018116587203</v>
      </c>
      <c r="Y72" s="118">
        <f t="shared" si="41"/>
        <v>1.7034639057357448</v>
      </c>
      <c r="Z72" s="118">
        <f t="shared" ref="Z72:Z73" si="50">AB72</f>
        <v>2.0357057114648081</v>
      </c>
      <c r="AA72" s="118">
        <f t="shared" ref="AA72:AA73" si="51">AB72</f>
        <v>2.0357057114648081</v>
      </c>
      <c r="AB72" s="118">
        <v>2.0357057114648081</v>
      </c>
      <c r="AD72" s="143">
        <f t="shared" si="42"/>
        <v>0.97332020734969027</v>
      </c>
      <c r="AE72" s="143">
        <f t="shared" si="43"/>
        <v>0.98330656580060505</v>
      </c>
      <c r="AF72" s="143">
        <f t="shared" si="44"/>
        <v>0.99374912288651107</v>
      </c>
    </row>
    <row r="73" spans="1:32" x14ac:dyDescent="0.25">
      <c r="A73" s="40">
        <v>85</v>
      </c>
      <c r="B73" s="64">
        <f t="shared" si="25"/>
        <v>42.027928411437308</v>
      </c>
      <c r="C73" s="64">
        <f t="shared" si="26"/>
        <v>40.85815794062048</v>
      </c>
      <c r="D73" s="116">
        <f t="shared" si="35"/>
        <v>41.443043176028894</v>
      </c>
      <c r="E73" s="65">
        <f t="shared" si="45"/>
        <v>1.8004237249969717</v>
      </c>
      <c r="F73" s="65">
        <f t="shared" ref="F73:F80" si="52" xml:space="preserve"> 3.1408 * (1-EXP(-(EXP(-3.5347)*($C72^0.8793))))</f>
        <v>1.6539577256743148</v>
      </c>
      <c r="G73" s="116">
        <f t="shared" si="36"/>
        <v>1.7271907253356433</v>
      </c>
      <c r="H73" s="65">
        <f t="shared" si="46"/>
        <v>1.9804950785232274</v>
      </c>
      <c r="I73" s="65">
        <f t="shared" ref="I73:I80" si="53">F73/(C73-C72)</f>
        <v>1.9775914603566433</v>
      </c>
      <c r="J73" s="116">
        <f t="shared" ref="J73:J134" si="54">AVERAGE(H73:I73)</f>
        <v>1.9790432694399354</v>
      </c>
      <c r="K73" s="66">
        <f t="shared" si="27"/>
        <v>41.109653493401467</v>
      </c>
      <c r="L73" s="66">
        <f t="shared" si="28"/>
        <v>40.375815724325705</v>
      </c>
      <c r="M73" s="66">
        <f t="shared" si="37"/>
        <v>40.742734608863586</v>
      </c>
      <c r="N73" s="69">
        <f t="shared" si="31"/>
        <v>1.7929605121095062</v>
      </c>
      <c r="O73" s="69">
        <f t="shared" si="32"/>
        <v>1.6661904198057889</v>
      </c>
      <c r="P73" s="123">
        <f t="shared" si="38"/>
        <v>1.7295754659576477</v>
      </c>
      <c r="Q73" s="69">
        <f t="shared" si="33"/>
        <v>2.017734790839997</v>
      </c>
      <c r="R73" s="69">
        <f t="shared" si="34"/>
        <v>2.0162829817567047</v>
      </c>
      <c r="S73" s="123">
        <f t="shared" si="39"/>
        <v>2.0170088862983508</v>
      </c>
      <c r="T73" s="67">
        <f t="shared" si="29"/>
        <v>40.191378575365619</v>
      </c>
      <c r="U73" s="67">
        <f t="shared" si="30"/>
        <v>39.893473508030922</v>
      </c>
      <c r="V73" s="119">
        <f t="shared" si="40"/>
        <v>40.04242604169827</v>
      </c>
      <c r="W73" s="118">
        <f t="shared" si="48"/>
        <v>1.785497299222041</v>
      </c>
      <c r="X73" s="118">
        <f t="shared" si="49"/>
        <v>1.678423113937263</v>
      </c>
      <c r="Y73" s="118">
        <f t="shared" si="41"/>
        <v>1.731960206579652</v>
      </c>
      <c r="Z73" s="118">
        <f t="shared" si="50"/>
        <v>2.0549745031567666</v>
      </c>
      <c r="AA73" s="118">
        <f t="shared" si="51"/>
        <v>2.0549745031567666</v>
      </c>
      <c r="AB73" s="118">
        <v>2.0549745031567666</v>
      </c>
      <c r="AD73" s="143">
        <f t="shared" si="42"/>
        <v>0.97216683012864147</v>
      </c>
      <c r="AE73" s="143">
        <f t="shared" si="43"/>
        <v>0.98214925919544538</v>
      </c>
      <c r="AF73" s="143">
        <f t="shared" si="44"/>
        <v>0.99258783654867488</v>
      </c>
    </row>
    <row r="74" spans="1:32" x14ac:dyDescent="0.25">
      <c r="A74" s="40">
        <v>86</v>
      </c>
      <c r="B74" s="64">
        <f t="shared" si="25"/>
        <v>42.94363499555007</v>
      </c>
      <c r="C74" s="64">
        <f t="shared" si="26"/>
        <v>41.699940512460387</v>
      </c>
      <c r="D74" s="116">
        <f t="shared" si="35"/>
        <v>42.321787754005229</v>
      </c>
      <c r="E74" s="65">
        <f t="shared" si="45"/>
        <v>1.8331545516202432</v>
      </c>
      <c r="F74" s="65">
        <f t="shared" si="52"/>
        <v>1.6742238788896693</v>
      </c>
      <c r="G74" s="116">
        <f t="shared" si="36"/>
        <v>1.7536892152549561</v>
      </c>
      <c r="H74" s="65">
        <f t="shared" si="46"/>
        <v>2.0019016827277776</v>
      </c>
      <c r="I74" s="65">
        <f t="shared" si="53"/>
        <v>1.9889029957347208</v>
      </c>
      <c r="J74" s="116">
        <f t="shared" si="54"/>
        <v>1.9954023392312492</v>
      </c>
      <c r="K74" s="66">
        <f t="shared" si="27"/>
        <v>42.00513024339174</v>
      </c>
      <c r="L74" s="66">
        <f t="shared" si="28"/>
        <v>41.207766489394942</v>
      </c>
      <c r="M74" s="66">
        <f t="shared" si="37"/>
        <v>41.606448366393337</v>
      </c>
      <c r="N74" s="69">
        <f t="shared" si="31"/>
        <v>1.825107965205778</v>
      </c>
      <c r="O74" s="69">
        <f t="shared" si="32"/>
        <v>1.6888738764819644</v>
      </c>
      <c r="P74" s="123">
        <f t="shared" si="38"/>
        <v>1.7569909208438712</v>
      </c>
      <c r="Q74" s="69">
        <f t="shared" si="33"/>
        <v>2.0389787086142004</v>
      </c>
      <c r="R74" s="69">
        <f t="shared" si="34"/>
        <v>2.0305082977250062</v>
      </c>
      <c r="S74" s="123">
        <f t="shared" si="39"/>
        <v>2.0347435031696035</v>
      </c>
      <c r="T74" s="67">
        <f t="shared" si="29"/>
        <v>41.06662549123341</v>
      </c>
      <c r="U74" s="67">
        <f t="shared" si="30"/>
        <v>40.715592466329504</v>
      </c>
      <c r="V74" s="119">
        <f t="shared" si="40"/>
        <v>40.89110897878146</v>
      </c>
      <c r="W74" s="68">
        <f t="shared" ref="W74:W80" si="55" xml:space="preserve"> 3.3719 * (1-EXP(-(EXP(-5.0674)*($T73^1.3026))))</f>
        <v>1.8170613787913126</v>
      </c>
      <c r="X74" s="68">
        <f t="shared" ref="X74:X80" si="56" xml:space="preserve"> 3.4467 * (1-EXP(-(EXP(-3.7929)*($U73^0.925))))</f>
        <v>1.7035238740742595</v>
      </c>
      <c r="Y74" s="118">
        <f t="shared" si="41"/>
        <v>1.7602926264327861</v>
      </c>
      <c r="Z74" s="68">
        <f t="shared" ref="Z74:Z80" si="57">W74/(T74-T73)</f>
        <v>2.0760557345006236</v>
      </c>
      <c r="AA74" s="68">
        <f t="shared" ref="AA74:AA80" si="58">X74/(U74-U73)</f>
        <v>2.0721135997152915</v>
      </c>
      <c r="AB74" s="118">
        <f t="shared" ref="AB74:AB134" si="59">AVERAGE(Z74:AA74)</f>
        <v>2.0740846671079574</v>
      </c>
      <c r="AD74" s="143">
        <f t="shared" si="42"/>
        <v>0.97103890988225472</v>
      </c>
      <c r="AE74" s="143">
        <f t="shared" si="43"/>
        <v>0.9810174674051334</v>
      </c>
      <c r="AF74" s="143">
        <f t="shared" si="44"/>
        <v>0.9914521093295372</v>
      </c>
    </row>
    <row r="75" spans="1:32" x14ac:dyDescent="0.25">
      <c r="A75" s="40">
        <v>87</v>
      </c>
      <c r="B75" s="64">
        <f t="shared" si="25"/>
        <v>43.865794863877952</v>
      </c>
      <c r="C75" s="64">
        <f t="shared" si="26"/>
        <v>42.547016107509243</v>
      </c>
      <c r="D75" s="116">
        <f t="shared" si="35"/>
        <v>43.206405485693594</v>
      </c>
      <c r="E75" s="65">
        <f t="shared" si="45"/>
        <v>1.8655037010774556</v>
      </c>
      <c r="F75" s="65">
        <f t="shared" si="52"/>
        <v>1.6942932936786994</v>
      </c>
      <c r="G75" s="116">
        <f t="shared" si="36"/>
        <v>1.7798984973780776</v>
      </c>
      <c r="H75" s="65">
        <f t="shared" si="46"/>
        <v>2.02297211703661</v>
      </c>
      <c r="I75" s="65">
        <f t="shared" si="53"/>
        <v>2.0001677578504404</v>
      </c>
      <c r="J75" s="116">
        <f t="shared" si="54"/>
        <v>2.0115699374435252</v>
      </c>
      <c r="K75" s="66">
        <f t="shared" si="27"/>
        <v>42.90694059235426</v>
      </c>
      <c r="L75" s="66">
        <f t="shared" si="28"/>
        <v>42.04497499231676</v>
      </c>
      <c r="M75" s="66">
        <f t="shared" si="37"/>
        <v>42.475957792335507</v>
      </c>
      <c r="N75" s="69">
        <f t="shared" si="31"/>
        <v>1.8582224085437336</v>
      </c>
      <c r="O75" s="69">
        <f t="shared" si="32"/>
        <v>1.7101529402537436</v>
      </c>
      <c r="P75" s="123">
        <f t="shared" si="38"/>
        <v>1.7841876743987386</v>
      </c>
      <c r="Q75" s="69">
        <f t="shared" si="33"/>
        <v>2.0614142310815167</v>
      </c>
      <c r="R75" s="69">
        <f t="shared" si="34"/>
        <v>2.0431916965133183</v>
      </c>
      <c r="S75" s="123">
        <f t="shared" si="39"/>
        <v>2.0523029637974175</v>
      </c>
      <c r="T75" s="67">
        <f t="shared" si="29"/>
        <v>41.948086320830576</v>
      </c>
      <c r="U75" s="67">
        <f t="shared" si="30"/>
        <v>41.542933877124277</v>
      </c>
      <c r="V75" s="119">
        <f t="shared" si="40"/>
        <v>41.745510098977427</v>
      </c>
      <c r="W75" s="68">
        <f t="shared" si="55"/>
        <v>1.8509411160100115</v>
      </c>
      <c r="X75" s="68">
        <f t="shared" si="56"/>
        <v>1.7260125868287881</v>
      </c>
      <c r="Y75" s="118">
        <f t="shared" si="41"/>
        <v>1.7884768514193998</v>
      </c>
      <c r="Z75" s="68">
        <f t="shared" si="57"/>
        <v>2.0998563451264234</v>
      </c>
      <c r="AA75" s="68">
        <f t="shared" si="58"/>
        <v>2.0862156351761967</v>
      </c>
      <c r="AB75" s="118">
        <f t="shared" si="59"/>
        <v>2.0930359901513098</v>
      </c>
      <c r="AD75" s="143">
        <f t="shared" si="42"/>
        <v>0.96993605700156416</v>
      </c>
      <c r="AE75" s="143">
        <f t="shared" si="43"/>
        <v>0.97991081190740748</v>
      </c>
      <c r="AF75" s="143">
        <f t="shared" si="44"/>
        <v>0.99034157504569864</v>
      </c>
    </row>
    <row r="76" spans="1:32" x14ac:dyDescent="0.25">
      <c r="A76" s="40">
        <v>88</v>
      </c>
      <c r="B76" s="64">
        <f t="shared" si="25"/>
        <v>44.794232098630758</v>
      </c>
      <c r="C76" s="64">
        <f t="shared" si="26"/>
        <v>43.399245005244268</v>
      </c>
      <c r="D76" s="116">
        <f t="shared" si="35"/>
        <v>44.096738551937513</v>
      </c>
      <c r="E76" s="65">
        <f t="shared" si="45"/>
        <v>1.8974525499030528</v>
      </c>
      <c r="F76" s="65">
        <f t="shared" si="52"/>
        <v>1.7141633832323917</v>
      </c>
      <c r="G76" s="116">
        <f t="shared" si="36"/>
        <v>1.8058079665677222</v>
      </c>
      <c r="H76" s="65">
        <f t="shared" si="46"/>
        <v>2.0437057874011741</v>
      </c>
      <c r="I76" s="65">
        <f t="shared" si="53"/>
        <v>2.0113884753123692</v>
      </c>
      <c r="J76" s="116">
        <f t="shared" si="54"/>
        <v>2.0275471313567719</v>
      </c>
      <c r="K76" s="66">
        <f t="shared" si="27"/>
        <v>43.814912915740436</v>
      </c>
      <c r="L76" s="66">
        <f t="shared" si="28"/>
        <v>42.887303762636712</v>
      </c>
      <c r="M76" s="66">
        <f t="shared" si="37"/>
        <v>43.351108339188571</v>
      </c>
      <c r="N76" s="69">
        <f t="shared" si="31"/>
        <v>1.8909910781398263</v>
      </c>
      <c r="O76" s="69">
        <f t="shared" si="32"/>
        <v>1.7312404802217407</v>
      </c>
      <c r="P76" s="123">
        <f t="shared" si="38"/>
        <v>1.8111157791807835</v>
      </c>
      <c r="Q76" s="69">
        <f t="shared" si="33"/>
        <v>2.0835508473482762</v>
      </c>
      <c r="R76" s="69">
        <f t="shared" si="34"/>
        <v>2.0558248357036542</v>
      </c>
      <c r="S76" s="123">
        <f t="shared" si="39"/>
        <v>2.0696878415259654</v>
      </c>
      <c r="T76" s="67">
        <f t="shared" si="29"/>
        <v>42.835593732850114</v>
      </c>
      <c r="U76" s="67">
        <f t="shared" si="30"/>
        <v>42.375362520029157</v>
      </c>
      <c r="V76" s="119">
        <f t="shared" si="40"/>
        <v>42.605478126439635</v>
      </c>
      <c r="W76" s="68">
        <f t="shared" si="55"/>
        <v>1.8845296063765999</v>
      </c>
      <c r="X76" s="68">
        <f t="shared" si="56"/>
        <v>1.7483175772110897</v>
      </c>
      <c r="Y76" s="118">
        <f t="shared" si="41"/>
        <v>1.8164235917938449</v>
      </c>
      <c r="Z76" s="68">
        <f t="shared" si="57"/>
        <v>2.1233959072953783</v>
      </c>
      <c r="AA76" s="68">
        <f t="shared" si="58"/>
        <v>2.1002611960949391</v>
      </c>
      <c r="AB76" s="118">
        <f t="shared" si="59"/>
        <v>2.1118285516951589</v>
      </c>
      <c r="AD76" s="143">
        <f t="shared" si="42"/>
        <v>0.96885788575826193</v>
      </c>
      <c r="AE76" s="143">
        <f t="shared" si="43"/>
        <v>0.97882891711122211</v>
      </c>
      <c r="AF76" s="143">
        <f t="shared" si="44"/>
        <v>0.98925586941338428</v>
      </c>
    </row>
    <row r="77" spans="1:32" x14ac:dyDescent="0.25">
      <c r="A77" s="40">
        <v>89</v>
      </c>
      <c r="B77" s="64">
        <f t="shared" si="25"/>
        <v>45.728770653555173</v>
      </c>
      <c r="C77" s="64">
        <f t="shared" si="26"/>
        <v>44.256487816561354</v>
      </c>
      <c r="D77" s="116">
        <f t="shared" si="35"/>
        <v>44.99262923505826</v>
      </c>
      <c r="E77" s="65">
        <f t="shared" si="45"/>
        <v>1.9289836018295425</v>
      </c>
      <c r="F77" s="65">
        <f t="shared" si="52"/>
        <v>1.7338317828807457</v>
      </c>
      <c r="G77" s="116">
        <f t="shared" si="36"/>
        <v>1.8314076923551441</v>
      </c>
      <c r="H77" s="65">
        <f t="shared" si="46"/>
        <v>2.0641027506730918</v>
      </c>
      <c r="I77" s="65">
        <f t="shared" si="53"/>
        <v>2.0225678885738922</v>
      </c>
      <c r="J77" s="116">
        <f t="shared" si="54"/>
        <v>2.043335319623492</v>
      </c>
      <c r="K77" s="66">
        <f t="shared" si="27"/>
        <v>44.728875448808111</v>
      </c>
      <c r="L77" s="66">
        <f t="shared" si="28"/>
        <v>43.734615643041998</v>
      </c>
      <c r="M77" s="66">
        <f t="shared" si="37"/>
        <v>44.231745545925051</v>
      </c>
      <c r="N77" s="69">
        <f t="shared" si="31"/>
        <v>1.9233960117343027</v>
      </c>
      <c r="O77" s="69">
        <f t="shared" si="32"/>
        <v>1.7521333776142338</v>
      </c>
      <c r="P77" s="123">
        <f t="shared" si="38"/>
        <v>1.8377646946742683</v>
      </c>
      <c r="Q77" s="69">
        <f t="shared" si="33"/>
        <v>2.1053877183263223</v>
      </c>
      <c r="R77" s="69">
        <f t="shared" si="34"/>
        <v>2.0684103175455091</v>
      </c>
      <c r="S77" s="123">
        <f t="shared" si="39"/>
        <v>2.0868990179359157</v>
      </c>
      <c r="T77" s="67">
        <f t="shared" si="29"/>
        <v>43.728980244061042</v>
      </c>
      <c r="U77" s="67">
        <f t="shared" si="30"/>
        <v>43.212743469522643</v>
      </c>
      <c r="V77" s="119">
        <f t="shared" si="40"/>
        <v>43.470861856791842</v>
      </c>
      <c r="W77" s="68">
        <f t="shared" si="55"/>
        <v>1.917808421639063</v>
      </c>
      <c r="X77" s="68">
        <f t="shared" si="56"/>
        <v>1.7704349723477222</v>
      </c>
      <c r="Y77" s="118">
        <f t="shared" si="41"/>
        <v>1.8441216969933927</v>
      </c>
      <c r="Z77" s="68">
        <f t="shared" si="57"/>
        <v>2.1466726859795524</v>
      </c>
      <c r="AA77" s="68">
        <f t="shared" si="58"/>
        <v>2.1142527465171264</v>
      </c>
      <c r="AB77" s="118">
        <f t="shared" si="59"/>
        <v>2.1304627162483394</v>
      </c>
      <c r="AD77" s="143">
        <f t="shared" si="42"/>
        <v>0.96780401449783215</v>
      </c>
      <c r="AE77" s="143">
        <f t="shared" si="43"/>
        <v>0.97777141062032658</v>
      </c>
      <c r="AF77" s="143">
        <f t="shared" si="44"/>
        <v>0.98819463038796773</v>
      </c>
    </row>
    <row r="78" spans="1:32" x14ac:dyDescent="0.25">
      <c r="A78" s="40">
        <v>90</v>
      </c>
      <c r="B78" s="64">
        <f t="shared" si="25"/>
        <v>46.66923444780322</v>
      </c>
      <c r="C78" s="64">
        <f t="shared" si="26"/>
        <v>45.118605534768442</v>
      </c>
      <c r="D78" s="116">
        <f t="shared" si="35"/>
        <v>45.893919991285827</v>
      </c>
      <c r="E78" s="65">
        <f t="shared" si="45"/>
        <v>1.9600804969791557</v>
      </c>
      <c r="F78" s="65">
        <f t="shared" si="52"/>
        <v>1.7532963439632825</v>
      </c>
      <c r="G78" s="116">
        <f t="shared" si="36"/>
        <v>1.8566884204712191</v>
      </c>
      <c r="H78" s="65">
        <f t="shared" si="46"/>
        <v>2.0841636955799561</v>
      </c>
      <c r="I78" s="65">
        <f t="shared" si="53"/>
        <v>2.0337087464221746</v>
      </c>
      <c r="J78" s="116">
        <f t="shared" si="54"/>
        <v>2.0589362210010655</v>
      </c>
      <c r="K78" s="66">
        <f t="shared" si="27"/>
        <v>45.648656378202986</v>
      </c>
      <c r="L78" s="66">
        <f t="shared" si="28"/>
        <v>44.586773839415727</v>
      </c>
      <c r="M78" s="66">
        <f t="shared" si="37"/>
        <v>45.117715108809357</v>
      </c>
      <c r="N78" s="69">
        <f t="shared" si="31"/>
        <v>1.9554202501388775</v>
      </c>
      <c r="O78" s="69">
        <f t="shared" si="32"/>
        <v>1.77282874336791</v>
      </c>
      <c r="P78" s="123">
        <f t="shared" si="38"/>
        <v>1.8641244967533939</v>
      </c>
      <c r="Q78" s="69">
        <f t="shared" si="33"/>
        <v>2.1269245808754547</v>
      </c>
      <c r="R78" s="69">
        <f t="shared" si="34"/>
        <v>2.0809507657580912</v>
      </c>
      <c r="S78" s="123">
        <f t="shared" si="39"/>
        <v>2.1039376733167732</v>
      </c>
      <c r="T78" s="67">
        <f t="shared" si="29"/>
        <v>44.62807830860276</v>
      </c>
      <c r="U78" s="67">
        <f t="shared" si="30"/>
        <v>44.054942144063006</v>
      </c>
      <c r="V78" s="119">
        <f t="shared" si="40"/>
        <v>44.341510226332886</v>
      </c>
      <c r="W78" s="68">
        <f t="shared" si="55"/>
        <v>1.9507600032985994</v>
      </c>
      <c r="X78" s="68">
        <f t="shared" si="56"/>
        <v>1.7923611427725372</v>
      </c>
      <c r="Y78" s="118">
        <f t="shared" si="41"/>
        <v>1.8715605730355684</v>
      </c>
      <c r="Z78" s="68">
        <f t="shared" si="57"/>
        <v>2.1696854661709533</v>
      </c>
      <c r="AA78" s="68">
        <f t="shared" si="58"/>
        <v>2.1281927850940083</v>
      </c>
      <c r="AB78" s="118">
        <f t="shared" si="59"/>
        <v>2.1489391256324808</v>
      </c>
      <c r="AD78" s="143">
        <f t="shared" si="42"/>
        <v>0.96677406579769243</v>
      </c>
      <c r="AE78" s="143">
        <f t="shared" si="43"/>
        <v>0.97673792345629029</v>
      </c>
      <c r="AF78" s="143">
        <f t="shared" si="44"/>
        <v>0.98715749845699108</v>
      </c>
    </row>
    <row r="79" spans="1:32" x14ac:dyDescent="0.25">
      <c r="A79" s="40">
        <v>91</v>
      </c>
      <c r="B79" s="64">
        <f t="shared" si="25"/>
        <v>47.615447458026935</v>
      </c>
      <c r="C79" s="64">
        <f t="shared" si="26"/>
        <v>45.985459585400783</v>
      </c>
      <c r="D79" s="116">
        <f t="shared" si="35"/>
        <v>46.800453521713862</v>
      </c>
      <c r="E79" s="65">
        <f t="shared" si="45"/>
        <v>1.9907280168618966</v>
      </c>
      <c r="F79" s="65">
        <f t="shared" si="52"/>
        <v>1.7725551276713836</v>
      </c>
      <c r="G79" s="116">
        <f t="shared" si="36"/>
        <v>1.88164157226664</v>
      </c>
      <c r="H79" s="65">
        <f t="shared" si="46"/>
        <v>2.1038899226203029</v>
      </c>
      <c r="I79" s="65">
        <f t="shared" si="53"/>
        <v>2.0448138027138061</v>
      </c>
      <c r="J79" s="116">
        <f t="shared" si="54"/>
        <v>2.0743518626670543</v>
      </c>
      <c r="K79" s="66">
        <f t="shared" si="27"/>
        <v>46.574083931825655</v>
      </c>
      <c r="L79" s="66">
        <f t="shared" si="28"/>
        <v>45.443641969747787</v>
      </c>
      <c r="M79" s="66">
        <f t="shared" si="37"/>
        <v>46.008862950786721</v>
      </c>
      <c r="N79" s="69">
        <f t="shared" si="31"/>
        <v>1.9870478463501466</v>
      </c>
      <c r="O79" s="69">
        <f t="shared" si="32"/>
        <v>1.7933239125499552</v>
      </c>
      <c r="P79" s="123">
        <f t="shared" si="38"/>
        <v>1.8901858794500508</v>
      </c>
      <c r="Q79" s="69">
        <f t="shared" si="33"/>
        <v>2.1481617316596213</v>
      </c>
      <c r="R79" s="69">
        <f t="shared" si="34"/>
        <v>2.0934488219094982</v>
      </c>
      <c r="S79" s="123">
        <f t="shared" si="39"/>
        <v>2.1208052767845595</v>
      </c>
      <c r="T79" s="67">
        <f t="shared" si="29"/>
        <v>45.532720405624367</v>
      </c>
      <c r="U79" s="67">
        <f t="shared" si="30"/>
        <v>44.901824354094785</v>
      </c>
      <c r="V79" s="119">
        <f t="shared" si="40"/>
        <v>45.21727237985958</v>
      </c>
      <c r="W79" s="68">
        <f t="shared" si="55"/>
        <v>1.9833676758383967</v>
      </c>
      <c r="X79" s="68">
        <f t="shared" si="56"/>
        <v>1.8140926974285265</v>
      </c>
      <c r="Y79" s="118">
        <f t="shared" si="41"/>
        <v>1.8987301866334616</v>
      </c>
      <c r="Z79" s="68">
        <f t="shared" si="57"/>
        <v>2.1924335406989397</v>
      </c>
      <c r="AA79" s="68">
        <f t="shared" si="58"/>
        <v>2.1420838411051903</v>
      </c>
      <c r="AB79" s="118">
        <f t="shared" si="59"/>
        <v>2.1672586909020648</v>
      </c>
      <c r="AD79" s="143">
        <f t="shared" si="42"/>
        <v>0.96576766659469093</v>
      </c>
      <c r="AE79" s="143">
        <f t="shared" si="43"/>
        <v>0.97572809024579876</v>
      </c>
      <c r="AF79" s="143">
        <f t="shared" si="44"/>
        <v>0.98614411689199988</v>
      </c>
    </row>
    <row r="80" spans="1:32" x14ac:dyDescent="0.25">
      <c r="A80" s="40">
        <v>92</v>
      </c>
      <c r="B80" s="64">
        <f t="shared" si="25"/>
        <v>48.567233808650215</v>
      </c>
      <c r="C80" s="64">
        <f t="shared" si="26"/>
        <v>46.856911874844606</v>
      </c>
      <c r="D80" s="116">
        <f t="shared" si="35"/>
        <v>47.712072841747414</v>
      </c>
      <c r="E80" s="65">
        <f t="shared" si="45"/>
        <v>2.0209120853206768</v>
      </c>
      <c r="F80" s="65">
        <f t="shared" si="52"/>
        <v>1.7916063988740161</v>
      </c>
      <c r="G80" s="116">
        <f t="shared" si="36"/>
        <v>1.9062592420973465</v>
      </c>
      <c r="H80" s="65">
        <f t="shared" si="46"/>
        <v>2.1232833229823864</v>
      </c>
      <c r="I80" s="65">
        <f t="shared" si="53"/>
        <v>2.0558858133443563</v>
      </c>
      <c r="J80" s="116">
        <f t="shared" si="54"/>
        <v>2.0895845681633713</v>
      </c>
      <c r="K80" s="66">
        <f t="shared" ref="K80:K111" si="60">(B80+T80)/2</f>
        <v>47.504986466936167</v>
      </c>
      <c r="L80" s="66">
        <f t="shared" ref="L80:L111" si="61">(C80+U80)/2</f>
        <v>46.305084111889187</v>
      </c>
      <c r="M80" s="66">
        <f t="shared" si="37"/>
        <v>46.90503528941268</v>
      </c>
      <c r="N80" s="69">
        <f t="shared" si="31"/>
        <v>2.01826387109731</v>
      </c>
      <c r="O80" s="69">
        <f t="shared" si="32"/>
        <v>1.8136164387094351</v>
      </c>
      <c r="P80" s="123">
        <f t="shared" si="38"/>
        <v>1.9159401549033725</v>
      </c>
      <c r="Q80" s="69">
        <f t="shared" si="33"/>
        <v>2.1691000101309283</v>
      </c>
      <c r="R80" s="69">
        <f t="shared" si="34"/>
        <v>2.1059071420260604</v>
      </c>
      <c r="S80" s="123">
        <f t="shared" si="39"/>
        <v>2.1375035760784944</v>
      </c>
      <c r="T80" s="67">
        <f t="shared" si="29"/>
        <v>46.442739125222118</v>
      </c>
      <c r="U80" s="67">
        <f t="shared" si="30"/>
        <v>45.75325634893376</v>
      </c>
      <c r="V80" s="119">
        <f t="shared" si="40"/>
        <v>46.097997737077939</v>
      </c>
      <c r="W80" s="68">
        <f t="shared" si="55"/>
        <v>2.0156156568739436</v>
      </c>
      <c r="X80" s="68">
        <f t="shared" si="56"/>
        <v>1.8356264785448539</v>
      </c>
      <c r="Y80" s="118">
        <f t="shared" si="41"/>
        <v>1.9256210677093988</v>
      </c>
      <c r="Z80" s="68">
        <f t="shared" si="57"/>
        <v>2.2149166972794707</v>
      </c>
      <c r="AA80" s="68">
        <f t="shared" si="58"/>
        <v>2.1559284707077651</v>
      </c>
      <c r="AB80" s="118">
        <f t="shared" si="59"/>
        <v>2.1854225839936179</v>
      </c>
      <c r="AD80" s="143">
        <f t="shared" si="42"/>
        <v>0.96478444828577026</v>
      </c>
      <c r="AE80" s="143">
        <f t="shared" si="43"/>
        <v>0.97474154937646129</v>
      </c>
      <c r="AF80" s="143">
        <f t="shared" si="44"/>
        <v>0.98515413196389368</v>
      </c>
    </row>
    <row r="81" spans="1:32" x14ac:dyDescent="0.25">
      <c r="A81" s="40">
        <v>93</v>
      </c>
      <c r="B81" s="64">
        <f t="shared" si="25"/>
        <v>49.524417860271981</v>
      </c>
      <c r="C81" s="64">
        <f t="shared" si="26"/>
        <v>47.732824837758137</v>
      </c>
      <c r="D81" s="116">
        <f t="shared" si="35"/>
        <v>48.628621349015063</v>
      </c>
      <c r="E81" s="65">
        <f t="shared" ref="E81:E112" si="62" xml:space="preserve"> 3.0763 * (1-EXP(-(EXP(-5.0736)*($B80^1.3308))))</f>
        <v>2.0506197655802345</v>
      </c>
      <c r="F81" s="65">
        <f t="shared" ref="F81:F112" si="63" xml:space="preserve"> 3.1408 * (1-EXP(-(EXP(-3.5347)*($C80^0.8793))))</f>
        <v>1.8104486199378973</v>
      </c>
      <c r="G81" s="116">
        <f t="shared" si="36"/>
        <v>1.9305341927590658</v>
      </c>
      <c r="H81" s="65">
        <f t="shared" ref="H81:H112" si="64">E81/(B81-B80)</f>
        <v>2.1423463565923915</v>
      </c>
      <c r="I81" s="65">
        <f t="shared" ref="I81:I112" si="65">F81/(C81-C80)</f>
        <v>2.0669275334341881</v>
      </c>
      <c r="J81" s="116">
        <f t="shared" si="54"/>
        <v>2.10463694501329</v>
      </c>
      <c r="K81" s="66">
        <f t="shared" si="60"/>
        <v>48.441192556451398</v>
      </c>
      <c r="L81" s="66">
        <f t="shared" si="61"/>
        <v>47.17096485013878</v>
      </c>
      <c r="M81" s="66">
        <f t="shared" si="37"/>
        <v>47.806078703295086</v>
      </c>
      <c r="N81" s="69">
        <f t="shared" ref="N81:N112" si="66">(E81+W81)/2</f>
        <v>2.0490544149405743</v>
      </c>
      <c r="O81" s="69">
        <f t="shared" ref="O81:O112" si="67">(F81+X81)/2</f>
        <v>1.833704088170619</v>
      </c>
      <c r="P81" s="123">
        <f t="shared" si="38"/>
        <v>1.9413792515555968</v>
      </c>
      <c r="Q81" s="69">
        <f t="shared" ref="Q81:Q112" si="68">(H81+Z81)/2</f>
        <v>2.1897407807244536</v>
      </c>
      <c r="R81" s="69">
        <f t="shared" ref="R81:R112" si="69">(I81+AA81)/2</f>
        <v>2.118328393415704</v>
      </c>
      <c r="S81" s="123">
        <f t="shared" si="39"/>
        <v>2.154034587070079</v>
      </c>
      <c r="T81" s="67">
        <f t="shared" si="29"/>
        <v>47.357967252630822</v>
      </c>
      <c r="U81" s="67">
        <f t="shared" si="30"/>
        <v>46.609104862519423</v>
      </c>
      <c r="V81" s="119">
        <f t="shared" si="40"/>
        <v>46.983536057575122</v>
      </c>
      <c r="W81" s="68">
        <f t="shared" ref="W81:W112" si="70" xml:space="preserve"> 3.3719 * (1-EXP(-(EXP(-5.0674)*($T80^1.3026))))</f>
        <v>2.0474890643009145</v>
      </c>
      <c r="X81" s="68">
        <f t="shared" ref="X81:X112" si="71" xml:space="preserve"> 3.4467 * (1-EXP(-(EXP(-3.7929)*($U80^0.925))))</f>
        <v>1.8569595564033408</v>
      </c>
      <c r="Y81" s="118">
        <f t="shared" si="41"/>
        <v>1.9522243103521277</v>
      </c>
      <c r="Z81" s="68">
        <f t="shared" ref="Z81:Z112" si="72">W81/(T81-T80)</f>
        <v>2.2371352048565161</v>
      </c>
      <c r="AA81" s="68">
        <f t="shared" ref="AA81:AA112" si="73">X81/(U81-U80)</f>
        <v>2.1697292533972199</v>
      </c>
      <c r="AB81" s="118">
        <f t="shared" si="59"/>
        <v>2.203432229126868</v>
      </c>
      <c r="AD81" s="143">
        <f t="shared" si="42"/>
        <v>0.9638240468051813</v>
      </c>
      <c r="AE81" s="143">
        <f t="shared" si="43"/>
        <v>0.97377794312490662</v>
      </c>
      <c r="AF81" s="143">
        <f t="shared" si="44"/>
        <v>0.98418719312599301</v>
      </c>
    </row>
    <row r="82" spans="1:32" x14ac:dyDescent="0.25">
      <c r="A82" s="40">
        <v>94</v>
      </c>
      <c r="B82" s="64">
        <f t="shared" si="25"/>
        <v>50.486824296157579</v>
      </c>
      <c r="C82" s="64">
        <f t="shared" si="26"/>
        <v>48.61306148328017</v>
      </c>
      <c r="D82" s="116">
        <f t="shared" si="35"/>
        <v>49.549942889718878</v>
      </c>
      <c r="E82" s="65">
        <f t="shared" si="62"/>
        <v>2.0798392535707877</v>
      </c>
      <c r="F82" s="65">
        <f t="shared" si="63"/>
        <v>1.8290804445526407</v>
      </c>
      <c r="G82" s="116">
        <f t="shared" si="36"/>
        <v>1.9544598490617142</v>
      </c>
      <c r="H82" s="65">
        <f t="shared" si="64"/>
        <v>2.161082029399501</v>
      </c>
      <c r="I82" s="65">
        <f t="shared" si="65"/>
        <v>2.0779417147168284</v>
      </c>
      <c r="J82" s="116">
        <f t="shared" si="54"/>
        <v>2.1195118720581645</v>
      </c>
      <c r="K82" s="66">
        <f t="shared" si="60"/>
        <v>49.382531073392656</v>
      </c>
      <c r="L82" s="66">
        <f t="shared" si="61"/>
        <v>48.041149320652309</v>
      </c>
      <c r="M82" s="66">
        <f t="shared" si="37"/>
        <v>48.711840197022482</v>
      </c>
      <c r="N82" s="69">
        <f t="shared" si="66"/>
        <v>2.0794065870493172</v>
      </c>
      <c r="O82" s="69">
        <f t="shared" si="67"/>
        <v>1.8535848342804635</v>
      </c>
      <c r="P82" s="123">
        <f t="shared" si="38"/>
        <v>1.9664957106648904</v>
      </c>
      <c r="Q82" s="69">
        <f t="shared" si="68"/>
        <v>2.2100859143482996</v>
      </c>
      <c r="R82" s="69">
        <f t="shared" si="69"/>
        <v>2.1307152516934655</v>
      </c>
      <c r="S82" s="123">
        <f t="shared" si="39"/>
        <v>2.1704005830208826</v>
      </c>
      <c r="T82" s="67">
        <f t="shared" si="29"/>
        <v>48.278237850627725</v>
      </c>
      <c r="U82" s="67">
        <f t="shared" si="30"/>
        <v>47.469237158024441</v>
      </c>
      <c r="V82" s="119">
        <f t="shared" si="40"/>
        <v>47.873737504326087</v>
      </c>
      <c r="W82" s="68">
        <f t="shared" si="70"/>
        <v>2.0789739205278464</v>
      </c>
      <c r="X82" s="68">
        <f t="shared" si="71"/>
        <v>1.8780892240082865</v>
      </c>
      <c r="Y82" s="118">
        <f t="shared" si="41"/>
        <v>1.9785315722680665</v>
      </c>
      <c r="Z82" s="68">
        <f t="shared" si="72"/>
        <v>2.2590897992970982</v>
      </c>
      <c r="AA82" s="68">
        <f t="shared" si="73"/>
        <v>2.1834887886701027</v>
      </c>
      <c r="AB82" s="118">
        <f t="shared" si="59"/>
        <v>2.2212892939836006</v>
      </c>
      <c r="AD82" s="143">
        <f t="shared" si="42"/>
        <v>0.96288610268124908</v>
      </c>
      <c r="AE82" s="143">
        <f t="shared" si="43"/>
        <v>0.97283691776051784</v>
      </c>
      <c r="AF82" s="143">
        <f t="shared" si="44"/>
        <v>0.98324295316854105</v>
      </c>
    </row>
    <row r="83" spans="1:32" x14ac:dyDescent="0.25">
      <c r="A83" s="40">
        <v>95</v>
      </c>
      <c r="B83" s="64">
        <f t="shared" si="25"/>
        <v>51.454278206778739</v>
      </c>
      <c r="C83" s="64">
        <f t="shared" si="26"/>
        <v>49.497485440016874</v>
      </c>
      <c r="D83" s="116">
        <f t="shared" si="35"/>
        <v>50.475881823397806</v>
      </c>
      <c r="E83" s="65">
        <f t="shared" si="62"/>
        <v>2.1085598677098445</v>
      </c>
      <c r="F83" s="65">
        <f t="shared" si="63"/>
        <v>1.8475007115709623</v>
      </c>
      <c r="G83" s="116">
        <f t="shared" si="36"/>
        <v>1.9780302896404034</v>
      </c>
      <c r="H83" s="65">
        <f t="shared" si="64"/>
        <v>2.1794938700036166</v>
      </c>
      <c r="I83" s="65">
        <f t="shared" si="65"/>
        <v>2.0889311031191</v>
      </c>
      <c r="J83" s="116">
        <f t="shared" si="54"/>
        <v>2.1342124865613581</v>
      </c>
      <c r="K83" s="66">
        <f t="shared" si="60"/>
        <v>50.328831273444692</v>
      </c>
      <c r="L83" s="66">
        <f t="shared" si="61"/>
        <v>48.915503255664902</v>
      </c>
      <c r="M83" s="66">
        <f t="shared" si="37"/>
        <v>49.622167264554797</v>
      </c>
      <c r="N83" s="69">
        <f t="shared" si="66"/>
        <v>2.1093085108004472</v>
      </c>
      <c r="O83" s="69">
        <f t="shared" si="67"/>
        <v>1.8732568516219947</v>
      </c>
      <c r="P83" s="123">
        <f t="shared" si="38"/>
        <v>1.991282681211221</v>
      </c>
      <c r="Q83" s="69">
        <f t="shared" si="68"/>
        <v>2.2301377692524991</v>
      </c>
      <c r="R83" s="69">
        <f t="shared" si="69"/>
        <v>2.1430703979968233</v>
      </c>
      <c r="S83" s="123">
        <f t="shared" si="39"/>
        <v>2.186604083624661</v>
      </c>
      <c r="T83" s="67">
        <f t="shared" si="29"/>
        <v>49.203384340110645</v>
      </c>
      <c r="U83" s="67">
        <f t="shared" si="30"/>
        <v>48.333521071312937</v>
      </c>
      <c r="V83" s="119">
        <f t="shared" si="40"/>
        <v>48.768452705711795</v>
      </c>
      <c r="W83" s="68">
        <f t="shared" si="70"/>
        <v>2.11005715389105</v>
      </c>
      <c r="X83" s="68">
        <f t="shared" si="71"/>
        <v>1.8990129916730274</v>
      </c>
      <c r="Y83" s="118">
        <f t="shared" si="41"/>
        <v>2.0045350727820388</v>
      </c>
      <c r="Z83" s="68">
        <f t="shared" si="72"/>
        <v>2.280781668501382</v>
      </c>
      <c r="AA83" s="68">
        <f t="shared" si="73"/>
        <v>2.1972096928745466</v>
      </c>
      <c r="AB83" s="118">
        <f t="shared" si="59"/>
        <v>2.2389956806879643</v>
      </c>
      <c r="AD83" s="143">
        <f t="shared" si="42"/>
        <v>0.9619702610753158</v>
      </c>
      <c r="AE83" s="143">
        <f t="shared" si="43"/>
        <v>0.97191812362776819</v>
      </c>
      <c r="AF83" s="143">
        <f t="shared" si="44"/>
        <v>0.98232106834796329</v>
      </c>
    </row>
    <row r="84" spans="1:32" x14ac:dyDescent="0.25">
      <c r="A84" s="40">
        <v>96</v>
      </c>
      <c r="B84" s="64">
        <f t="shared" si="25"/>
        <v>52.426605172365491</v>
      </c>
      <c r="C84" s="64">
        <f t="shared" si="26"/>
        <v>50.385960999800552</v>
      </c>
      <c r="D84" s="116">
        <f t="shared" si="35"/>
        <v>51.406283086083022</v>
      </c>
      <c r="E84" s="65">
        <f t="shared" si="62"/>
        <v>2.1367720353363104</v>
      </c>
      <c r="F84" s="65">
        <f t="shared" si="63"/>
        <v>1.8657084388734675</v>
      </c>
      <c r="G84" s="116">
        <f t="shared" si="36"/>
        <v>2.0012402371048887</v>
      </c>
      <c r="H84" s="65">
        <f t="shared" si="64"/>
        <v>2.1975859057316911</v>
      </c>
      <c r="I84" s="65">
        <f t="shared" si="65"/>
        <v>2.0998984365171736</v>
      </c>
      <c r="J84" s="116">
        <f t="shared" si="54"/>
        <v>2.1487421711244323</v>
      </c>
      <c r="K84" s="66">
        <f t="shared" si="60"/>
        <v>51.27992287559011</v>
      </c>
      <c r="L84" s="66">
        <f t="shared" si="61"/>
        <v>49.793893026519982</v>
      </c>
      <c r="M84" s="66">
        <f t="shared" si="37"/>
        <v>50.536907951055042</v>
      </c>
      <c r="N84" s="69">
        <f t="shared" si="66"/>
        <v>2.1387493163473401</v>
      </c>
      <c r="O84" s="69">
        <f t="shared" si="67"/>
        <v>1.8927185102048758</v>
      </c>
      <c r="P84" s="123">
        <f t="shared" si="38"/>
        <v>2.0157339132761081</v>
      </c>
      <c r="Q84" s="69">
        <f t="shared" si="68"/>
        <v>2.24989917136143</v>
      </c>
      <c r="R84" s="69">
        <f t="shared" si="69"/>
        <v>2.1553965163793753</v>
      </c>
      <c r="S84" s="123">
        <f t="shared" si="39"/>
        <v>2.2026478438704027</v>
      </c>
      <c r="T84" s="67">
        <f t="shared" si="29"/>
        <v>50.133240578814728</v>
      </c>
      <c r="U84" s="67">
        <f t="shared" si="30"/>
        <v>49.201825053239411</v>
      </c>
      <c r="V84" s="119">
        <f t="shared" si="40"/>
        <v>49.667532816027069</v>
      </c>
      <c r="W84" s="68">
        <f t="shared" si="70"/>
        <v>2.1407265973583693</v>
      </c>
      <c r="X84" s="68">
        <f t="shared" si="71"/>
        <v>1.9197285815362841</v>
      </c>
      <c r="Y84" s="118">
        <f t="shared" si="41"/>
        <v>2.0302275894473265</v>
      </c>
      <c r="Z84" s="68">
        <f t="shared" si="72"/>
        <v>2.302212436991169</v>
      </c>
      <c r="AA84" s="68">
        <f t="shared" si="73"/>
        <v>2.2108945962415767</v>
      </c>
      <c r="AB84" s="118">
        <f t="shared" si="59"/>
        <v>2.256553516616373</v>
      </c>
      <c r="AD84" s="143">
        <f t="shared" si="42"/>
        <v>0.96107617180521576</v>
      </c>
      <c r="AE84" s="143">
        <f t="shared" si="43"/>
        <v>0.97102121520979323</v>
      </c>
      <c r="AF84" s="143">
        <f t="shared" si="44"/>
        <v>0.98142119849382103</v>
      </c>
    </row>
    <row r="85" spans="1:32" x14ac:dyDescent="0.25">
      <c r="A85" s="40">
        <v>97</v>
      </c>
      <c r="B85" s="64">
        <f t="shared" si="25"/>
        <v>53.403631343436537</v>
      </c>
      <c r="C85" s="64">
        <f t="shared" si="26"/>
        <v>51.278353160213292</v>
      </c>
      <c r="D85" s="116">
        <f t="shared" si="35"/>
        <v>52.340992251824915</v>
      </c>
      <c r="E85" s="65">
        <f t="shared" si="62"/>
        <v>2.164467275999951</v>
      </c>
      <c r="F85" s="65">
        <f t="shared" si="63"/>
        <v>1.8837028172670753</v>
      </c>
      <c r="G85" s="116">
        <f t="shared" si="36"/>
        <v>2.0240850466335134</v>
      </c>
      <c r="H85" s="65">
        <f t="shared" si="64"/>
        <v>2.2153626382670959</v>
      </c>
      <c r="I85" s="65">
        <f t="shared" si="65"/>
        <v>2.1108464426624325</v>
      </c>
      <c r="J85" s="116">
        <f t="shared" si="54"/>
        <v>2.1631045404647642</v>
      </c>
      <c r="K85" s="66">
        <f t="shared" si="60"/>
        <v>52.235636140785957</v>
      </c>
      <c r="L85" s="66">
        <f t="shared" si="61"/>
        <v>50.676185685498041</v>
      </c>
      <c r="M85" s="66">
        <f t="shared" si="37"/>
        <v>51.455910913141999</v>
      </c>
      <c r="N85" s="69">
        <f t="shared" si="66"/>
        <v>2.1677191303182717</v>
      </c>
      <c r="O85" s="69">
        <f t="shared" si="67"/>
        <v>1.9119683696439371</v>
      </c>
      <c r="P85" s="123">
        <f t="shared" si="38"/>
        <v>2.0398437499811042</v>
      </c>
      <c r="Q85" s="69">
        <f t="shared" si="68"/>
        <v>2.2693733941531917</v>
      </c>
      <c r="R85" s="69">
        <f t="shared" si="69"/>
        <v>2.1676962913732165</v>
      </c>
      <c r="S85" s="123">
        <f t="shared" si="39"/>
        <v>2.2185348427632041</v>
      </c>
      <c r="T85" s="67">
        <f t="shared" si="29"/>
        <v>51.067640938135369</v>
      </c>
      <c r="U85" s="67">
        <f t="shared" si="30"/>
        <v>50.074018210782789</v>
      </c>
      <c r="V85" s="119">
        <f t="shared" si="40"/>
        <v>50.570829574459083</v>
      </c>
      <c r="W85" s="68">
        <f t="shared" si="70"/>
        <v>2.1709709846365923</v>
      </c>
      <c r="X85" s="68">
        <f t="shared" si="71"/>
        <v>1.9402339220207989</v>
      </c>
      <c r="Y85" s="118">
        <f t="shared" si="41"/>
        <v>2.0556024533286958</v>
      </c>
      <c r="Z85" s="68">
        <f t="shared" si="72"/>
        <v>2.3233841500392876</v>
      </c>
      <c r="AA85" s="68">
        <f t="shared" si="73"/>
        <v>2.2245461400840001</v>
      </c>
      <c r="AB85" s="118">
        <f t="shared" si="59"/>
        <v>2.273965145061644</v>
      </c>
      <c r="AD85" s="143">
        <f t="shared" si="42"/>
        <v>0.9602034893553274</v>
      </c>
      <c r="AE85" s="143">
        <f t="shared" si="43"/>
        <v>0.97014585117552943</v>
      </c>
      <c r="AF85" s="143">
        <f t="shared" si="44"/>
        <v>0.98054300709609277</v>
      </c>
    </row>
    <row r="86" spans="1:32" x14ac:dyDescent="0.25">
      <c r="A86" s="40">
        <v>98</v>
      </c>
      <c r="B86" s="64">
        <f t="shared" si="25"/>
        <v>54.385183519277625</v>
      </c>
      <c r="C86" s="64">
        <f t="shared" si="26"/>
        <v>52.174527665871928</v>
      </c>
      <c r="D86" s="116">
        <f t="shared" si="35"/>
        <v>53.279855592574776</v>
      </c>
      <c r="E86" s="65">
        <f t="shared" si="62"/>
        <v>2.1916381818164417</v>
      </c>
      <c r="F86" s="65">
        <f t="shared" si="63"/>
        <v>1.9014832044256003</v>
      </c>
      <c r="G86" s="116">
        <f t="shared" si="36"/>
        <v>2.046560693121021</v>
      </c>
      <c r="H86" s="65">
        <f t="shared" si="64"/>
        <v>2.2328290189346642</v>
      </c>
      <c r="I86" s="65">
        <f t="shared" si="65"/>
        <v>2.1217778372618654</v>
      </c>
      <c r="J86" s="116">
        <f t="shared" si="54"/>
        <v>2.1773034280982646</v>
      </c>
      <c r="K86" s="66">
        <f t="shared" si="60"/>
        <v>53.195801948652772</v>
      </c>
      <c r="L86" s="66">
        <f t="shared" si="61"/>
        <v>51.56224900644095</v>
      </c>
      <c r="M86" s="66">
        <f t="shared" si="37"/>
        <v>52.379025477546861</v>
      </c>
      <c r="N86" s="69">
        <f t="shared" si="66"/>
        <v>2.1962090628104218</v>
      </c>
      <c r="O86" s="69">
        <f t="shared" si="67"/>
        <v>1.9310051733359896</v>
      </c>
      <c r="P86" s="123">
        <f t="shared" si="38"/>
        <v>2.0636071180732056</v>
      </c>
      <c r="Q86" s="69">
        <f t="shared" si="68"/>
        <v>2.2885641381683497</v>
      </c>
      <c r="R86" s="69">
        <f t="shared" si="69"/>
        <v>2.1799724057096737</v>
      </c>
      <c r="S86" s="123">
        <f t="shared" si="39"/>
        <v>2.2342682719390119</v>
      </c>
      <c r="T86" s="67">
        <f t="shared" si="29"/>
        <v>52.006420378027919</v>
      </c>
      <c r="U86" s="67">
        <f t="shared" si="30"/>
        <v>50.949970347009973</v>
      </c>
      <c r="V86" s="119">
        <f t="shared" si="40"/>
        <v>51.478195362518946</v>
      </c>
      <c r="W86" s="68">
        <f t="shared" si="70"/>
        <v>2.200779943804402</v>
      </c>
      <c r="X86" s="68">
        <f t="shared" si="71"/>
        <v>1.960527142246379</v>
      </c>
      <c r="Y86" s="118">
        <f t="shared" si="41"/>
        <v>2.0806535430253907</v>
      </c>
      <c r="Z86" s="68">
        <f t="shared" si="72"/>
        <v>2.3442992574020352</v>
      </c>
      <c r="AA86" s="68">
        <f t="shared" si="73"/>
        <v>2.2381669741574819</v>
      </c>
      <c r="AB86" s="118">
        <f t="shared" si="59"/>
        <v>2.2912331157797583</v>
      </c>
      <c r="AD86" s="143">
        <f t="shared" si="42"/>
        <v>0.95935187287504331</v>
      </c>
      <c r="AE86" s="143">
        <f t="shared" si="43"/>
        <v>0.9692916944124913</v>
      </c>
      <c r="AF86" s="143">
        <f t="shared" si="44"/>
        <v>0.97968616137510045</v>
      </c>
    </row>
    <row r="87" spans="1:32" x14ac:dyDescent="0.25">
      <c r="A87" s="40">
        <v>99</v>
      </c>
      <c r="B87" s="64">
        <f t="shared" si="25"/>
        <v>55.371089224340842</v>
      </c>
      <c r="C87" s="64">
        <f t="shared" si="26"/>
        <v>53.074351048470028</v>
      </c>
      <c r="D87" s="116">
        <f t="shared" si="35"/>
        <v>54.222720136405435</v>
      </c>
      <c r="E87" s="65">
        <f t="shared" si="62"/>
        <v>2.2182783951036962</v>
      </c>
      <c r="F87" s="65">
        <f t="shared" si="63"/>
        <v>1.9190491188805405</v>
      </c>
      <c r="G87" s="116">
        <f t="shared" si="36"/>
        <v>2.0686637569921182</v>
      </c>
      <c r="H87" s="65">
        <f t="shared" si="64"/>
        <v>2.2499904237408361</v>
      </c>
      <c r="I87" s="65">
        <f t="shared" si="65"/>
        <v>2.1326953222082139</v>
      </c>
      <c r="J87" s="116">
        <f t="shared" si="54"/>
        <v>2.1913428729745252</v>
      </c>
      <c r="K87" s="66">
        <f t="shared" si="60"/>
        <v>54.160251872148905</v>
      </c>
      <c r="L87" s="66">
        <f t="shared" si="61"/>
        <v>52.451951524167768</v>
      </c>
      <c r="M87" s="66">
        <f t="shared" si="37"/>
        <v>53.306101698158336</v>
      </c>
      <c r="N87" s="69">
        <f t="shared" si="66"/>
        <v>2.2242111918512899</v>
      </c>
      <c r="O87" s="69">
        <f t="shared" si="67"/>
        <v>1.9498278426447337</v>
      </c>
      <c r="P87" s="123">
        <f t="shared" si="38"/>
        <v>2.0870195172480117</v>
      </c>
      <c r="Q87" s="69">
        <f t="shared" si="68"/>
        <v>2.3074755102298239</v>
      </c>
      <c r="R87" s="69">
        <f t="shared" si="69"/>
        <v>2.1922275381905401</v>
      </c>
      <c r="S87" s="123">
        <f t="shared" si="39"/>
        <v>2.249851524210182</v>
      </c>
      <c r="T87" s="67">
        <f t="shared" si="29"/>
        <v>52.949414519956974</v>
      </c>
      <c r="U87" s="67">
        <f t="shared" si="30"/>
        <v>51.829551999865501</v>
      </c>
      <c r="V87" s="119">
        <f t="shared" si="40"/>
        <v>52.389483259911238</v>
      </c>
      <c r="W87" s="68">
        <f t="shared" si="70"/>
        <v>2.2301439885988832</v>
      </c>
      <c r="X87" s="68">
        <f t="shared" si="71"/>
        <v>1.980606566408927</v>
      </c>
      <c r="Y87" s="118">
        <f t="shared" si="41"/>
        <v>2.1053752775039052</v>
      </c>
      <c r="Z87" s="68">
        <f t="shared" si="72"/>
        <v>2.3649605967188112</v>
      </c>
      <c r="AA87" s="68">
        <f t="shared" si="73"/>
        <v>2.2517597541728667</v>
      </c>
      <c r="AB87" s="118">
        <f t="shared" si="59"/>
        <v>2.3083601754458387</v>
      </c>
      <c r="AD87" s="143">
        <f t="shared" si="42"/>
        <v>0.95852098616725101</v>
      </c>
      <c r="AE87" s="143">
        <f t="shared" si="43"/>
        <v>0.96845841204701621</v>
      </c>
      <c r="AF87" s="143">
        <f t="shared" si="44"/>
        <v>0.9788503323361698</v>
      </c>
    </row>
    <row r="88" spans="1:32" x14ac:dyDescent="0.25">
      <c r="A88" s="40">
        <v>100</v>
      </c>
      <c r="B88" s="64">
        <f t="shared" si="25"/>
        <v>56.361176782540646</v>
      </c>
      <c r="C88" s="64">
        <f t="shared" si="26"/>
        <v>53.977690665575516</v>
      </c>
      <c r="D88" s="116">
        <f t="shared" si="35"/>
        <v>55.169433724058081</v>
      </c>
      <c r="E88" s="65">
        <f t="shared" si="62"/>
        <v>2.2443825835189855</v>
      </c>
      <c r="F88" s="65">
        <f t="shared" si="63"/>
        <v>1.9364002340695774</v>
      </c>
      <c r="G88" s="116">
        <f t="shared" si="36"/>
        <v>2.0903914087942814</v>
      </c>
      <c r="H88" s="65">
        <f t="shared" si="64"/>
        <v>2.2668526282662973</v>
      </c>
      <c r="I88" s="65">
        <f t="shared" si="65"/>
        <v>2.1436015839471971</v>
      </c>
      <c r="J88" s="116">
        <f t="shared" si="54"/>
        <v>2.2052271061067472</v>
      </c>
      <c r="K88" s="66">
        <f t="shared" si="60"/>
        <v>55.128818250206407</v>
      </c>
      <c r="L88" s="66">
        <f t="shared" si="61"/>
        <v>53.34516257268001</v>
      </c>
      <c r="M88" s="66">
        <f t="shared" si="37"/>
        <v>54.236990411443209</v>
      </c>
      <c r="N88" s="69">
        <f t="shared" si="66"/>
        <v>2.2517185455037998</v>
      </c>
      <c r="O88" s="69">
        <f t="shared" si="67"/>
        <v>1.968435471103086</v>
      </c>
      <c r="P88" s="123">
        <f t="shared" si="38"/>
        <v>2.1100770083034428</v>
      </c>
      <c r="Q88" s="69">
        <f t="shared" si="68"/>
        <v>2.3261120024517559</v>
      </c>
      <c r="R88" s="69">
        <f t="shared" si="69"/>
        <v>2.2044643617004471</v>
      </c>
      <c r="S88" s="123">
        <f t="shared" si="39"/>
        <v>2.2652881820761017</v>
      </c>
      <c r="T88" s="67">
        <f t="shared" si="29"/>
        <v>53.896459717872162</v>
      </c>
      <c r="U88" s="67">
        <f t="shared" si="30"/>
        <v>52.712634479784505</v>
      </c>
      <c r="V88" s="119">
        <f t="shared" si="40"/>
        <v>53.304547098828337</v>
      </c>
      <c r="W88" s="68">
        <f t="shared" si="70"/>
        <v>2.2590545074886141</v>
      </c>
      <c r="X88" s="68">
        <f t="shared" si="71"/>
        <v>2.0004707081365947</v>
      </c>
      <c r="Y88" s="118">
        <f t="shared" si="41"/>
        <v>2.1297626078126042</v>
      </c>
      <c r="Z88" s="68">
        <f t="shared" si="72"/>
        <v>2.3853713766372144</v>
      </c>
      <c r="AA88" s="68">
        <f t="shared" si="73"/>
        <v>2.2653271394536976</v>
      </c>
      <c r="AB88" s="118">
        <f t="shared" si="59"/>
        <v>2.3253492580454562</v>
      </c>
      <c r="AD88" s="143">
        <f t="shared" si="42"/>
        <v>0.95771049766825522</v>
      </c>
      <c r="AE88" s="143">
        <f t="shared" si="43"/>
        <v>0.96764567545360514</v>
      </c>
      <c r="AF88" s="143">
        <f t="shared" si="44"/>
        <v>0.9780351948108551</v>
      </c>
    </row>
    <row r="89" spans="1:32" x14ac:dyDescent="0.25">
      <c r="A89" s="40">
        <v>101</v>
      </c>
      <c r="B89" s="64">
        <f t="shared" si="25"/>
        <v>57.355275389425373</v>
      </c>
      <c r="C89" s="64">
        <f t="shared" si="26"/>
        <v>54.884414738182727</v>
      </c>
      <c r="D89" s="116">
        <f t="shared" si="35"/>
        <v>56.11984506380405</v>
      </c>
      <c r="E89" s="65">
        <f t="shared" si="62"/>
        <v>2.2699464129185438</v>
      </c>
      <c r="F89" s="65">
        <f t="shared" si="63"/>
        <v>1.953536372449848</v>
      </c>
      <c r="G89" s="116">
        <f t="shared" si="36"/>
        <v>2.1117413926841957</v>
      </c>
      <c r="H89" s="65">
        <f t="shared" si="64"/>
        <v>2.2834217825050844</v>
      </c>
      <c r="I89" s="65">
        <f t="shared" si="65"/>
        <v>2.1544992919760175</v>
      </c>
      <c r="J89" s="116">
        <f t="shared" si="54"/>
        <v>2.2189605372405508</v>
      </c>
      <c r="K89" s="66">
        <f t="shared" si="60"/>
        <v>56.101334258307247</v>
      </c>
      <c r="L89" s="66">
        <f t="shared" si="61"/>
        <v>54.241752322155151</v>
      </c>
      <c r="M89" s="66">
        <f t="shared" si="37"/>
        <v>55.171543290231199</v>
      </c>
      <c r="N89" s="69">
        <f t="shared" si="66"/>
        <v>2.2787250817945228</v>
      </c>
      <c r="O89" s="69">
        <f t="shared" si="67"/>
        <v>1.986827318641766</v>
      </c>
      <c r="P89" s="123">
        <f t="shared" si="38"/>
        <v>2.1327762002181445</v>
      </c>
      <c r="Q89" s="69">
        <f t="shared" si="68"/>
        <v>2.344478471115782</v>
      </c>
      <c r="R89" s="69">
        <f t="shared" si="69"/>
        <v>2.2166855413535416</v>
      </c>
      <c r="S89" s="123">
        <f t="shared" si="39"/>
        <v>2.2805820062346616</v>
      </c>
      <c r="T89" s="67">
        <f t="shared" si="29"/>
        <v>54.847393127189115</v>
      </c>
      <c r="U89" s="67">
        <f t="shared" si="30"/>
        <v>53.599089906127567</v>
      </c>
      <c r="V89" s="119">
        <f t="shared" si="40"/>
        <v>54.223241516658341</v>
      </c>
      <c r="W89" s="68">
        <f t="shared" si="70"/>
        <v>2.2875037506705018</v>
      </c>
      <c r="X89" s="68">
        <f t="shared" si="71"/>
        <v>2.020118264833684</v>
      </c>
      <c r="Y89" s="118">
        <f t="shared" si="41"/>
        <v>2.1538110077520929</v>
      </c>
      <c r="Z89" s="68">
        <f t="shared" si="72"/>
        <v>2.4055351597264796</v>
      </c>
      <c r="AA89" s="68">
        <f t="shared" si="73"/>
        <v>2.2788717907310656</v>
      </c>
      <c r="AB89" s="118">
        <f t="shared" si="59"/>
        <v>2.3422034752287724</v>
      </c>
      <c r="AD89" s="143">
        <f t="shared" si="42"/>
        <v>0.95692008042039323</v>
      </c>
      <c r="AE89" s="143">
        <f t="shared" si="43"/>
        <v>0.96685316025479839</v>
      </c>
      <c r="AF89" s="143">
        <f t="shared" si="44"/>
        <v>0.97724042748637518</v>
      </c>
    </row>
    <row r="90" spans="1:32" x14ac:dyDescent="0.25">
      <c r="A90" s="40">
        <v>102</v>
      </c>
      <c r="B90" s="64">
        <f t="shared" si="25"/>
        <v>58.353215182206711</v>
      </c>
      <c r="C90" s="64">
        <f t="shared" si="26"/>
        <v>55.794392387019265</v>
      </c>
      <c r="D90" s="116">
        <f t="shared" si="35"/>
        <v>57.073803784612991</v>
      </c>
      <c r="E90" s="65">
        <f t="shared" si="62"/>
        <v>2.2949665181620338</v>
      </c>
      <c r="F90" s="65">
        <f t="shared" si="63"/>
        <v>1.9704574996825339</v>
      </c>
      <c r="G90" s="116">
        <f t="shared" si="36"/>
        <v>2.132712008922284</v>
      </c>
      <c r="H90" s="65">
        <f t="shared" si="64"/>
        <v>2.2997043857383206</v>
      </c>
      <c r="I90" s="65">
        <f t="shared" si="65"/>
        <v>2.1653910974647395</v>
      </c>
      <c r="J90" s="116">
        <f t="shared" si="54"/>
        <v>2.2325477416015298</v>
      </c>
      <c r="K90" s="66">
        <f t="shared" si="60"/>
        <v>57.077633976982312</v>
      </c>
      <c r="L90" s="66">
        <f t="shared" si="61"/>
        <v>55.141591814728379</v>
      </c>
      <c r="M90" s="66">
        <f t="shared" si="37"/>
        <v>56.109612895855349</v>
      </c>
      <c r="N90" s="69">
        <f t="shared" si="66"/>
        <v>2.3052256666462809</v>
      </c>
      <c r="O90" s="69">
        <f t="shared" si="67"/>
        <v>2.0050028058524907</v>
      </c>
      <c r="P90" s="123">
        <f t="shared" si="38"/>
        <v>2.1551142362493856</v>
      </c>
      <c r="Q90" s="69">
        <f t="shared" si="68"/>
        <v>2.3625801154872708</v>
      </c>
      <c r="R90" s="69">
        <f t="shared" si="69"/>
        <v>2.2288937327665534</v>
      </c>
      <c r="S90" s="123">
        <f t="shared" si="39"/>
        <v>2.2957369241269121</v>
      </c>
      <c r="T90" s="67">
        <f t="shared" si="29"/>
        <v>55.802052771757914</v>
      </c>
      <c r="U90" s="67">
        <f t="shared" si="30"/>
        <v>54.488791242437493</v>
      </c>
      <c r="V90" s="119">
        <f t="shared" si="40"/>
        <v>55.145422007097707</v>
      </c>
      <c r="W90" s="68">
        <f t="shared" si="70"/>
        <v>2.3154848151305281</v>
      </c>
      <c r="X90" s="68">
        <f t="shared" si="71"/>
        <v>2.0395481120224477</v>
      </c>
      <c r="Y90" s="118">
        <f t="shared" si="41"/>
        <v>2.1775164635764881</v>
      </c>
      <c r="Z90" s="68">
        <f t="shared" si="72"/>
        <v>2.4254558452362209</v>
      </c>
      <c r="AA90" s="68">
        <f t="shared" si="73"/>
        <v>2.292396368068367</v>
      </c>
      <c r="AB90" s="118">
        <f t="shared" si="59"/>
        <v>2.358926106652294</v>
      </c>
      <c r="AD90" s="143">
        <f t="shared" si="42"/>
        <v>0.95614941203843573</v>
      </c>
      <c r="AE90" s="143">
        <f t="shared" si="43"/>
        <v>0.96608054631285734</v>
      </c>
      <c r="AF90" s="143">
        <f t="shared" si="44"/>
        <v>0.97646571292472095</v>
      </c>
    </row>
    <row r="91" spans="1:32" x14ac:dyDescent="0.25">
      <c r="A91" s="40">
        <v>103</v>
      </c>
      <c r="B91" s="64">
        <f t="shared" si="25"/>
        <v>59.354827307631602</v>
      </c>
      <c r="C91" s="64">
        <f t="shared" si="26"/>
        <v>56.707493667609555</v>
      </c>
      <c r="D91" s="116">
        <f t="shared" si="35"/>
        <v>58.031160487620582</v>
      </c>
      <c r="E91" s="65">
        <f t="shared" si="62"/>
        <v>2.3194404720835045</v>
      </c>
      <c r="F91" s="65">
        <f t="shared" si="63"/>
        <v>1.9871637188948412</v>
      </c>
      <c r="G91" s="116">
        <f t="shared" si="36"/>
        <v>2.1533020954891731</v>
      </c>
      <c r="H91" s="65">
        <f t="shared" si="64"/>
        <v>2.3157072615305849</v>
      </c>
      <c r="I91" s="65">
        <f t="shared" si="65"/>
        <v>2.1762796319924176</v>
      </c>
      <c r="J91" s="116">
        <f t="shared" si="54"/>
        <v>2.245993446761501</v>
      </c>
      <c r="K91" s="66">
        <f t="shared" si="60"/>
        <v>58.057552458217543</v>
      </c>
      <c r="L91" s="66">
        <f t="shared" si="61"/>
        <v>56.044552999063882</v>
      </c>
      <c r="M91" s="66">
        <f t="shared" si="37"/>
        <v>57.051052728640713</v>
      </c>
      <c r="N91" s="69">
        <f t="shared" si="66"/>
        <v>2.3312160499971393</v>
      </c>
      <c r="O91" s="69">
        <f t="shared" si="67"/>
        <v>2.0229615082936343</v>
      </c>
      <c r="P91" s="123">
        <f t="shared" si="38"/>
        <v>2.1770887791453868</v>
      </c>
      <c r="Q91" s="69">
        <f t="shared" si="68"/>
        <v>2.3804224566448111</v>
      </c>
      <c r="R91" s="69">
        <f t="shared" si="69"/>
        <v>2.2410915804522293</v>
      </c>
      <c r="S91" s="123">
        <f t="shared" si="39"/>
        <v>2.3107570185485202</v>
      </c>
      <c r="T91" s="67">
        <f t="shared" si="29"/>
        <v>56.760277608803477</v>
      </c>
      <c r="U91" s="67">
        <f t="shared" si="30"/>
        <v>55.381612330518216</v>
      </c>
      <c r="V91" s="119">
        <f t="shared" si="40"/>
        <v>56.070944969660843</v>
      </c>
      <c r="W91" s="68">
        <f t="shared" si="70"/>
        <v>2.3429916279107736</v>
      </c>
      <c r="X91" s="68">
        <f t="shared" si="71"/>
        <v>2.0587592976924269</v>
      </c>
      <c r="Y91" s="118">
        <f t="shared" si="41"/>
        <v>2.2008754628016005</v>
      </c>
      <c r="Z91" s="68">
        <f t="shared" si="72"/>
        <v>2.4451376517590369</v>
      </c>
      <c r="AA91" s="68">
        <f t="shared" si="73"/>
        <v>2.3059035289120411</v>
      </c>
      <c r="AB91" s="118">
        <f t="shared" si="59"/>
        <v>2.375520590335539</v>
      </c>
      <c r="AD91" s="143">
        <f t="shared" si="42"/>
        <v>0.95539817467076238</v>
      </c>
      <c r="AE91" s="143">
        <f t="shared" si="43"/>
        <v>0.96532751771438585</v>
      </c>
      <c r="AF91" s="143">
        <f t="shared" si="44"/>
        <v>0.97571073757272408</v>
      </c>
    </row>
    <row r="92" spans="1:32" x14ac:dyDescent="0.25">
      <c r="A92" s="40">
        <v>104</v>
      </c>
      <c r="B92" s="64">
        <f t="shared" si="25"/>
        <v>60.359943987684801</v>
      </c>
      <c r="C92" s="64">
        <f t="shared" si="26"/>
        <v>57.623589604097106</v>
      </c>
      <c r="D92" s="116">
        <f t="shared" si="35"/>
        <v>58.991766795890953</v>
      </c>
      <c r="E92" s="65">
        <f t="shared" si="62"/>
        <v>2.3433667528483171</v>
      </c>
      <c r="F92" s="65">
        <f t="shared" si="63"/>
        <v>2.0036552650249968</v>
      </c>
      <c r="G92" s="116">
        <f t="shared" si="36"/>
        <v>2.1735110089366572</v>
      </c>
      <c r="H92" s="65">
        <f t="shared" si="64"/>
        <v>2.3314375329283039</v>
      </c>
      <c r="I92" s="65">
        <f t="shared" si="65"/>
        <v>2.1871675063938296</v>
      </c>
      <c r="J92" s="116">
        <f t="shared" si="54"/>
        <v>2.259302519661067</v>
      </c>
      <c r="K92" s="66">
        <f t="shared" si="60"/>
        <v>59.040925789755399</v>
      </c>
      <c r="L92" s="66">
        <f t="shared" si="61"/>
        <v>56.950508763717757</v>
      </c>
      <c r="M92" s="66">
        <f t="shared" si="37"/>
        <v>57.995717276736578</v>
      </c>
      <c r="N92" s="69">
        <f t="shared" si="66"/>
        <v>2.3566928402873017</v>
      </c>
      <c r="O92" s="69">
        <f t="shared" si="67"/>
        <v>2.0407031508457414</v>
      </c>
      <c r="P92" s="123">
        <f t="shared" si="38"/>
        <v>2.1986979955665218</v>
      </c>
      <c r="Q92" s="69">
        <f t="shared" si="68"/>
        <v>2.3980113163891401</v>
      </c>
      <c r="R92" s="69">
        <f t="shared" si="69"/>
        <v>2.2532817163264385</v>
      </c>
      <c r="S92" s="123">
        <f t="shared" si="39"/>
        <v>2.3256465163577893</v>
      </c>
      <c r="T92" s="67">
        <f t="shared" si="29"/>
        <v>57.721907591825996</v>
      </c>
      <c r="U92" s="67">
        <f t="shared" si="30"/>
        <v>56.277427923338408</v>
      </c>
      <c r="V92" s="119">
        <f t="shared" si="40"/>
        <v>56.999667757582202</v>
      </c>
      <c r="W92" s="68">
        <f t="shared" si="70"/>
        <v>2.370018927726286</v>
      </c>
      <c r="X92" s="68">
        <f t="shared" si="71"/>
        <v>2.077751036666486</v>
      </c>
      <c r="Y92" s="118">
        <f t="shared" si="41"/>
        <v>2.223884982196386</v>
      </c>
      <c r="Z92" s="68">
        <f t="shared" si="72"/>
        <v>2.4645850998499768</v>
      </c>
      <c r="AA92" s="68">
        <f t="shared" si="73"/>
        <v>2.3193959262590469</v>
      </c>
      <c r="AB92" s="118">
        <f t="shared" si="59"/>
        <v>2.3919905130545116</v>
      </c>
      <c r="AD92" s="143">
        <f t="shared" si="42"/>
        <v>0.95466605495614787</v>
      </c>
      <c r="AE92" s="143">
        <f t="shared" si="43"/>
        <v>0.96459376274888353</v>
      </c>
      <c r="AF92" s="143">
        <f t="shared" si="44"/>
        <v>0.97497519176424197</v>
      </c>
    </row>
    <row r="93" spans="1:32" x14ac:dyDescent="0.25">
      <c r="A93" s="40">
        <v>105</v>
      </c>
      <c r="B93" s="64">
        <f t="shared" si="25"/>
        <v>61.368398583112921</v>
      </c>
      <c r="C93" s="64">
        <f t="shared" si="26"/>
        <v>58.542552221830348</v>
      </c>
      <c r="D93" s="116">
        <f t="shared" si="35"/>
        <v>59.955475402471635</v>
      </c>
      <c r="E93" s="65">
        <f t="shared" si="62"/>
        <v>2.3667447099121883</v>
      </c>
      <c r="F93" s="65">
        <f t="shared" si="63"/>
        <v>2.0199324992553862</v>
      </c>
      <c r="G93" s="116">
        <f t="shared" si="36"/>
        <v>2.1933386045837873</v>
      </c>
      <c r="H93" s="65">
        <f t="shared" si="64"/>
        <v>2.3469025979374245</v>
      </c>
      <c r="I93" s="65">
        <f t="shared" si="65"/>
        <v>2.1980573097062952</v>
      </c>
      <c r="J93" s="116">
        <f t="shared" si="54"/>
        <v>2.2724799538218599</v>
      </c>
      <c r="K93" s="66">
        <f t="shared" si="60"/>
        <v>60.027591157282195</v>
      </c>
      <c r="L93" s="66">
        <f t="shared" si="61"/>
        <v>57.85933296929641</v>
      </c>
      <c r="M93" s="66">
        <f t="shared" si="37"/>
        <v>58.943462063289303</v>
      </c>
      <c r="N93" s="69">
        <f t="shared" si="66"/>
        <v>2.3816534774939555</v>
      </c>
      <c r="O93" s="69">
        <f t="shared" si="67"/>
        <v>2.0582276021237984</v>
      </c>
      <c r="P93" s="123">
        <f t="shared" si="38"/>
        <v>2.219940539808877</v>
      </c>
      <c r="Q93" s="69">
        <f t="shared" si="68"/>
        <v>2.4153527962976709</v>
      </c>
      <c r="R93" s="69">
        <f t="shared" si="69"/>
        <v>2.2654667583221539</v>
      </c>
      <c r="S93" s="123">
        <f t="shared" si="39"/>
        <v>2.3404097773099126</v>
      </c>
      <c r="T93" s="67">
        <f t="shared" si="29"/>
        <v>58.68678373145147</v>
      </c>
      <c r="U93" s="67">
        <f t="shared" si="30"/>
        <v>57.176113716762472</v>
      </c>
      <c r="V93" s="119">
        <f t="shared" si="40"/>
        <v>57.931448724106971</v>
      </c>
      <c r="W93" s="68">
        <f t="shared" si="70"/>
        <v>2.3965622450757227</v>
      </c>
      <c r="X93" s="68">
        <f t="shared" si="71"/>
        <v>2.0965227049922102</v>
      </c>
      <c r="Y93" s="118">
        <f t="shared" si="41"/>
        <v>2.2465424750339666</v>
      </c>
      <c r="Z93" s="68">
        <f t="shared" si="72"/>
        <v>2.4838029946579168</v>
      </c>
      <c r="AA93" s="68">
        <f t="shared" si="73"/>
        <v>2.3328762069380127</v>
      </c>
      <c r="AB93" s="118">
        <f t="shared" si="59"/>
        <v>2.4083396007979649</v>
      </c>
      <c r="AD93" s="143">
        <f t="shared" si="42"/>
        <v>0.95395274397692731</v>
      </c>
      <c r="AE93" s="143">
        <f t="shared" si="43"/>
        <v>0.96387897388211718</v>
      </c>
      <c r="AF93" s="143">
        <f t="shared" si="44"/>
        <v>0.97425876971548198</v>
      </c>
    </row>
    <row r="94" spans="1:32" x14ac:dyDescent="0.25">
      <c r="A94" s="40">
        <v>106</v>
      </c>
      <c r="B94" s="64">
        <f t="shared" si="25"/>
        <v>62.380025654763664</v>
      </c>
      <c r="C94" s="64">
        <f t="shared" si="26"/>
        <v>59.464254578715838</v>
      </c>
      <c r="D94" s="116">
        <f t="shared" si="35"/>
        <v>60.922140116739754</v>
      </c>
      <c r="E94" s="65">
        <f t="shared" si="62"/>
        <v>2.3895745287939016</v>
      </c>
      <c r="F94" s="65">
        <f t="shared" si="63"/>
        <v>2.0359959035385771</v>
      </c>
      <c r="G94" s="116">
        <f t="shared" si="36"/>
        <v>2.2127852161662394</v>
      </c>
      <c r="H94" s="65">
        <f t="shared" si="64"/>
        <v>2.3621101053520297</v>
      </c>
      <c r="I94" s="65">
        <f t="shared" si="65"/>
        <v>2.2089516082158878</v>
      </c>
      <c r="J94" s="116">
        <f t="shared" si="54"/>
        <v>2.285530856783959</v>
      </c>
      <c r="K94" s="66">
        <f t="shared" si="60"/>
        <v>61.017386904494529</v>
      </c>
      <c r="L94" s="66">
        <f t="shared" si="61"/>
        <v>58.770900479414379</v>
      </c>
      <c r="M94" s="66">
        <f t="shared" si="37"/>
        <v>59.894143691954454</v>
      </c>
      <c r="N94" s="69">
        <f t="shared" si="66"/>
        <v>2.4060962048916021</v>
      </c>
      <c r="O94" s="69">
        <f t="shared" si="67"/>
        <v>2.0755348689527096</v>
      </c>
      <c r="P94" s="123">
        <f t="shared" si="38"/>
        <v>2.2408155369221561</v>
      </c>
      <c r="Q94" s="69">
        <f t="shared" si="68"/>
        <v>2.4324532569853821</v>
      </c>
      <c r="R94" s="69">
        <f t="shared" si="69"/>
        <v>2.2776493091069261</v>
      </c>
      <c r="S94" s="123">
        <f t="shared" si="39"/>
        <v>2.3550512830461541</v>
      </c>
      <c r="T94" s="67">
        <f t="shared" si="29"/>
        <v>59.654748154225402</v>
      </c>
      <c r="U94" s="67">
        <f t="shared" si="30"/>
        <v>58.077546380112928</v>
      </c>
      <c r="V94" s="119">
        <f t="shared" si="40"/>
        <v>58.866147267169168</v>
      </c>
      <c r="W94" s="68">
        <f t="shared" si="70"/>
        <v>2.4226178809893022</v>
      </c>
      <c r="X94" s="68">
        <f t="shared" si="71"/>
        <v>2.115073834366842</v>
      </c>
      <c r="Y94" s="118">
        <f t="shared" si="41"/>
        <v>2.2688458576780723</v>
      </c>
      <c r="Z94" s="68">
        <f t="shared" si="72"/>
        <v>2.502796408618734</v>
      </c>
      <c r="AA94" s="68">
        <f t="shared" si="73"/>
        <v>2.346347009997964</v>
      </c>
      <c r="AB94" s="118">
        <f t="shared" si="59"/>
        <v>2.4245717093083492</v>
      </c>
      <c r="AD94" s="143">
        <f t="shared" si="42"/>
        <v>0.95325793720918162</v>
      </c>
      <c r="AE94" s="143">
        <f t="shared" si="43"/>
        <v>0.96318284772508544</v>
      </c>
      <c r="AF94" s="143">
        <f t="shared" si="44"/>
        <v>0.97356116951437066</v>
      </c>
    </row>
    <row r="95" spans="1:32" x14ac:dyDescent="0.25">
      <c r="A95" s="40">
        <v>107</v>
      </c>
      <c r="B95" s="64">
        <f t="shared" si="25"/>
        <v>63.394661022736585</v>
      </c>
      <c r="C95" s="64">
        <f t="shared" si="26"/>
        <v>60.388570795345473</v>
      </c>
      <c r="D95" s="116">
        <f t="shared" si="35"/>
        <v>61.891615909041029</v>
      </c>
      <c r="E95" s="65">
        <f t="shared" si="62"/>
        <v>2.4118571948677547</v>
      </c>
      <c r="F95" s="65">
        <f t="shared" si="63"/>
        <v>2.0518460752204741</v>
      </c>
      <c r="G95" s="116">
        <f t="shared" si="36"/>
        <v>2.2318516350441144</v>
      </c>
      <c r="H95" s="65">
        <f t="shared" si="64"/>
        <v>2.3770679310009246</v>
      </c>
      <c r="I95" s="65">
        <f t="shared" si="65"/>
        <v>2.2198529445931285</v>
      </c>
      <c r="J95" s="116">
        <f t="shared" si="54"/>
        <v>2.2984604377970266</v>
      </c>
      <c r="K95" s="66">
        <f t="shared" si="60"/>
        <v>62.010152591040963</v>
      </c>
      <c r="L95" s="66">
        <f t="shared" si="61"/>
        <v>59.685087190457409</v>
      </c>
      <c r="M95" s="66">
        <f t="shared" si="37"/>
        <v>60.847619890749186</v>
      </c>
      <c r="N95" s="69">
        <f t="shared" si="66"/>
        <v>2.4300200397120157</v>
      </c>
      <c r="O95" s="69">
        <f t="shared" si="67"/>
        <v>2.0926250909119593</v>
      </c>
      <c r="P95" s="123">
        <f t="shared" si="38"/>
        <v>2.2613225653119873</v>
      </c>
      <c r="Q95" s="69">
        <f t="shared" si="68"/>
        <v>2.4493192976297462</v>
      </c>
      <c r="R95" s="69">
        <f t="shared" si="69"/>
        <v>2.2898319548961883</v>
      </c>
      <c r="S95" s="123">
        <f t="shared" si="39"/>
        <v>2.369575626262967</v>
      </c>
      <c r="T95" s="67">
        <f t="shared" si="29"/>
        <v>60.625644159345342</v>
      </c>
      <c r="U95" s="67">
        <f t="shared" si="30"/>
        <v>58.981603585569346</v>
      </c>
      <c r="V95" s="119">
        <f t="shared" si="40"/>
        <v>59.803623872457344</v>
      </c>
      <c r="W95" s="68">
        <f t="shared" si="70"/>
        <v>2.4481828845562763</v>
      </c>
      <c r="X95" s="68">
        <f t="shared" si="71"/>
        <v>2.1334041066034444</v>
      </c>
      <c r="Y95" s="118">
        <f t="shared" si="41"/>
        <v>2.2907934955798606</v>
      </c>
      <c r="Z95" s="68">
        <f t="shared" si="72"/>
        <v>2.5215706642585678</v>
      </c>
      <c r="AA95" s="68">
        <f t="shared" si="73"/>
        <v>2.3598109651992476</v>
      </c>
      <c r="AB95" s="118">
        <f t="shared" si="59"/>
        <v>2.4406908147289075</v>
      </c>
      <c r="AD95" s="143">
        <f t="shared" si="42"/>
        <v>0.9525813344705325</v>
      </c>
      <c r="AE95" s="143">
        <f t="shared" si="43"/>
        <v>0.96250508499926712</v>
      </c>
      <c r="AF95" s="143">
        <f t="shared" si="44"/>
        <v>0.9728820931047778</v>
      </c>
    </row>
    <row r="96" spans="1:32" x14ac:dyDescent="0.25">
      <c r="A96" s="40">
        <v>108</v>
      </c>
      <c r="B96" s="64">
        <f t="shared" si="25"/>
        <v>64.412141823344825</v>
      </c>
      <c r="C96" s="64">
        <f t="shared" si="26"/>
        <v>61.315376083904901</v>
      </c>
      <c r="D96" s="116">
        <f t="shared" si="35"/>
        <v>62.863758953624867</v>
      </c>
      <c r="E96" s="65">
        <f t="shared" si="62"/>
        <v>2.4335944563751624</v>
      </c>
      <c r="F96" s="65">
        <f t="shared" si="63"/>
        <v>2.067483721764475</v>
      </c>
      <c r="G96" s="116">
        <f t="shared" si="36"/>
        <v>2.2505390890698189</v>
      </c>
      <c r="H96" s="65">
        <f t="shared" si="64"/>
        <v>2.391784154472874</v>
      </c>
      <c r="I96" s="65">
        <f t="shared" si="65"/>
        <v>2.2307638371141034</v>
      </c>
      <c r="J96" s="116">
        <f t="shared" si="54"/>
        <v>2.3112739957934885</v>
      </c>
      <c r="K96" s="66">
        <f t="shared" si="60"/>
        <v>63.00572904833777</v>
      </c>
      <c r="L96" s="66">
        <f t="shared" si="61"/>
        <v>60.601770060157371</v>
      </c>
      <c r="M96" s="66">
        <f t="shared" si="37"/>
        <v>61.803749554247574</v>
      </c>
      <c r="N96" s="69">
        <f t="shared" si="66"/>
        <v>2.4534247428737501</v>
      </c>
      <c r="O96" s="69">
        <f t="shared" si="67"/>
        <v>2.1094985349549948</v>
      </c>
      <c r="P96" s="123">
        <f t="shared" si="38"/>
        <v>2.2814616389143723</v>
      </c>
      <c r="Q96" s="69">
        <f t="shared" si="68"/>
        <v>2.4659577358126938</v>
      </c>
      <c r="R96" s="69">
        <f t="shared" si="69"/>
        <v>2.3020172643582022</v>
      </c>
      <c r="S96" s="123">
        <f t="shared" si="39"/>
        <v>2.383987500085448</v>
      </c>
      <c r="T96" s="67">
        <f t="shared" si="29"/>
        <v>61.599316273330714</v>
      </c>
      <c r="U96" s="67">
        <f t="shared" si="30"/>
        <v>59.88816403640984</v>
      </c>
      <c r="V96" s="119">
        <f t="shared" si="40"/>
        <v>60.743740154870281</v>
      </c>
      <c r="W96" s="68">
        <f t="shared" si="70"/>
        <v>2.4732550293723374</v>
      </c>
      <c r="X96" s="68">
        <f t="shared" si="71"/>
        <v>2.1515133481455146</v>
      </c>
      <c r="Y96" s="118">
        <f t="shared" si="41"/>
        <v>2.312384188758926</v>
      </c>
      <c r="Z96" s="68">
        <f t="shared" si="72"/>
        <v>2.5401313171525137</v>
      </c>
      <c r="AA96" s="68">
        <f t="shared" si="73"/>
        <v>2.3732706916023014</v>
      </c>
      <c r="AB96" s="118">
        <f t="shared" si="59"/>
        <v>2.4567010043774076</v>
      </c>
      <c r="AD96" s="143">
        <f t="shared" si="42"/>
        <v>0.95192263986605141</v>
      </c>
      <c r="AE96" s="143">
        <f t="shared" si="43"/>
        <v>0.96184539049875784</v>
      </c>
      <c r="AF96" s="143">
        <f t="shared" si="44"/>
        <v>0.97222124626630457</v>
      </c>
    </row>
    <row r="97" spans="1:32" x14ac:dyDescent="0.25">
      <c r="A97" s="40">
        <v>109</v>
      </c>
      <c r="B97" s="64">
        <f t="shared" si="25"/>
        <v>65.432306563889369</v>
      </c>
      <c r="C97" s="64">
        <f t="shared" si="26"/>
        <v>62.244546775870234</v>
      </c>
      <c r="D97" s="116">
        <f t="shared" si="35"/>
        <v>63.838426669879802</v>
      </c>
      <c r="E97" s="65">
        <f t="shared" si="62"/>
        <v>2.4547887868475788</v>
      </c>
      <c r="F97" s="65">
        <f t="shared" si="63"/>
        <v>2.0829096555800977</v>
      </c>
      <c r="G97" s="116">
        <f t="shared" si="36"/>
        <v>2.2688492212138383</v>
      </c>
      <c r="H97" s="65">
        <f t="shared" si="64"/>
        <v>2.4062670363781247</v>
      </c>
      <c r="I97" s="65">
        <f t="shared" si="65"/>
        <v>2.2416867789646253</v>
      </c>
      <c r="J97" s="116">
        <f t="shared" si="54"/>
        <v>2.323976907671375</v>
      </c>
      <c r="K97" s="66">
        <f t="shared" si="60"/>
        <v>64.003958433259896</v>
      </c>
      <c r="L97" s="66">
        <f t="shared" si="61"/>
        <v>61.520827134986064</v>
      </c>
      <c r="M97" s="66">
        <f t="shared" si="37"/>
        <v>62.76239278412298</v>
      </c>
      <c r="N97" s="69">
        <f t="shared" si="66"/>
        <v>2.4763107879461215</v>
      </c>
      <c r="O97" s="69">
        <f t="shared" si="67"/>
        <v>2.1261555901084459</v>
      </c>
      <c r="P97" s="123">
        <f t="shared" si="38"/>
        <v>2.3012331890272835</v>
      </c>
      <c r="Q97" s="69">
        <f t="shared" si="68"/>
        <v>2.4823755877305054</v>
      </c>
      <c r="R97" s="69">
        <f t="shared" si="69"/>
        <v>2.3142077876073817</v>
      </c>
      <c r="S97" s="123">
        <f t="shared" si="39"/>
        <v>2.3982916876689435</v>
      </c>
      <c r="T97" s="67">
        <f t="shared" si="29"/>
        <v>62.575610302630437</v>
      </c>
      <c r="U97" s="67">
        <f t="shared" si="30"/>
        <v>60.797107494101894</v>
      </c>
      <c r="V97" s="119">
        <f t="shared" si="40"/>
        <v>61.686358898366166</v>
      </c>
      <c r="W97" s="68">
        <f t="shared" si="70"/>
        <v>2.4978327890446637</v>
      </c>
      <c r="X97" s="68">
        <f t="shared" si="71"/>
        <v>2.1694015246367941</v>
      </c>
      <c r="Y97" s="118">
        <f t="shared" si="41"/>
        <v>2.3336171568407291</v>
      </c>
      <c r="Z97" s="68">
        <f t="shared" si="72"/>
        <v>2.5584841390828865</v>
      </c>
      <c r="AA97" s="68">
        <f t="shared" si="73"/>
        <v>2.386728796250138</v>
      </c>
      <c r="AB97" s="118">
        <f t="shared" si="59"/>
        <v>2.4726064676665125</v>
      </c>
      <c r="AD97" s="143">
        <f t="shared" si="42"/>
        <v>0.95128156173271161</v>
      </c>
      <c r="AE97" s="143">
        <f t="shared" si="43"/>
        <v>0.96120347304982523</v>
      </c>
      <c r="AF97" s="143">
        <f t="shared" si="44"/>
        <v>0.97157833859027054</v>
      </c>
    </row>
    <row r="98" spans="1:32" x14ac:dyDescent="0.25">
      <c r="A98" s="40">
        <v>110</v>
      </c>
      <c r="B98" s="64">
        <f t="shared" si="25"/>
        <v>66.454995175250559</v>
      </c>
      <c r="C98" s="64">
        <f t="shared" si="26"/>
        <v>63.175960348502919</v>
      </c>
      <c r="D98" s="116">
        <f t="shared" si="35"/>
        <v>64.815477761876735</v>
      </c>
      <c r="E98" s="65">
        <f t="shared" si="62"/>
        <v>2.4754433471247648</v>
      </c>
      <c r="F98" s="65">
        <f t="shared" si="63"/>
        <v>2.0981247889590922</v>
      </c>
      <c r="G98" s="116">
        <f t="shared" si="36"/>
        <v>2.2867840680419285</v>
      </c>
      <c r="H98" s="65">
        <f t="shared" si="64"/>
        <v>2.4205249961960278</v>
      </c>
      <c r="I98" s="65">
        <f t="shared" si="65"/>
        <v>2.2526242376183561</v>
      </c>
      <c r="J98" s="116">
        <f t="shared" si="54"/>
        <v>2.3365746169071917</v>
      </c>
      <c r="K98" s="66">
        <f t="shared" si="60"/>
        <v>65.004684279711043</v>
      </c>
      <c r="L98" s="66">
        <f t="shared" si="61"/>
        <v>62.442137576376737</v>
      </c>
      <c r="M98" s="66">
        <f t="shared" si="37"/>
        <v>63.72341092804389</v>
      </c>
      <c r="N98" s="69">
        <f t="shared" si="66"/>
        <v>2.4986793295069862</v>
      </c>
      <c r="O98" s="69">
        <f t="shared" si="67"/>
        <v>2.1425967622558195</v>
      </c>
      <c r="P98" s="123">
        <f t="shared" si="38"/>
        <v>2.3206380458814029</v>
      </c>
      <c r="Q98" s="69">
        <f t="shared" si="68"/>
        <v>2.4985800488164172</v>
      </c>
      <c r="R98" s="69">
        <f t="shared" si="69"/>
        <v>2.326406055278877</v>
      </c>
      <c r="S98" s="123">
        <f t="shared" si="39"/>
        <v>2.4124930520476471</v>
      </c>
      <c r="T98" s="67">
        <f t="shared" si="29"/>
        <v>63.554373384171519</v>
      </c>
      <c r="U98" s="67">
        <f t="shared" si="30"/>
        <v>61.708314804250556</v>
      </c>
      <c r="V98" s="119">
        <f t="shared" si="40"/>
        <v>62.631344094211038</v>
      </c>
      <c r="W98" s="68">
        <f t="shared" si="70"/>
        <v>2.5219153118892081</v>
      </c>
      <c r="X98" s="68">
        <f t="shared" si="71"/>
        <v>2.1870687355525464</v>
      </c>
      <c r="Y98" s="118">
        <f t="shared" si="41"/>
        <v>2.3544920237208773</v>
      </c>
      <c r="Z98" s="68">
        <f t="shared" si="72"/>
        <v>2.576635101436807</v>
      </c>
      <c r="AA98" s="68">
        <f t="shared" si="73"/>
        <v>2.4001878729393984</v>
      </c>
      <c r="AB98" s="118">
        <f t="shared" si="59"/>
        <v>2.4884114871881025</v>
      </c>
      <c r="AD98" s="143">
        <f t="shared" si="42"/>
        <v>0.95065781258278037</v>
      </c>
      <c r="AE98" s="143">
        <f t="shared" si="43"/>
        <v>0.96057904546835693</v>
      </c>
      <c r="AF98" s="143">
        <f t="shared" si="44"/>
        <v>0.97095308345246412</v>
      </c>
    </row>
    <row r="99" spans="1:32" x14ac:dyDescent="0.25">
      <c r="A99" s="40">
        <v>111</v>
      </c>
      <c r="B99" s="64">
        <f t="shared" si="25"/>
        <v>67.480049062303436</v>
      </c>
      <c r="C99" s="64">
        <f t="shared" si="26"/>
        <v>64.10949545015221</v>
      </c>
      <c r="D99" s="116">
        <f t="shared" si="35"/>
        <v>65.794772256227816</v>
      </c>
      <c r="E99" s="65">
        <f t="shared" si="62"/>
        <v>2.4955619471436856</v>
      </c>
      <c r="F99" s="65">
        <f t="shared" si="63"/>
        <v>2.1131301291217657</v>
      </c>
      <c r="G99" s="116">
        <f t="shared" si="36"/>
        <v>2.3043460381327256</v>
      </c>
      <c r="H99" s="65">
        <f t="shared" si="64"/>
        <v>2.4345665907561722</v>
      </c>
      <c r="I99" s="65">
        <f t="shared" si="65"/>
        <v>2.2635786542878424</v>
      </c>
      <c r="J99" s="116">
        <f t="shared" si="54"/>
        <v>2.3490726225220073</v>
      </c>
      <c r="K99" s="66">
        <f t="shared" si="60"/>
        <v>66.007751548078858</v>
      </c>
      <c r="L99" s="66">
        <f t="shared" si="61"/>
        <v>63.365581685782459</v>
      </c>
      <c r="M99" s="66">
        <f t="shared" si="37"/>
        <v>64.686666616930665</v>
      </c>
      <c r="N99" s="69">
        <f t="shared" si="66"/>
        <v>2.5205321710473543</v>
      </c>
      <c r="O99" s="69">
        <f t="shared" si="67"/>
        <v>2.1588226690099654</v>
      </c>
      <c r="P99" s="123">
        <f t="shared" si="38"/>
        <v>2.3396774200286599</v>
      </c>
      <c r="Q99" s="69">
        <f t="shared" si="68"/>
        <v>2.5145784748183129</v>
      </c>
      <c r="R99" s="69">
        <f t="shared" si="69"/>
        <v>2.3386145776821357</v>
      </c>
      <c r="S99" s="123">
        <f t="shared" si="39"/>
        <v>2.4265965262502243</v>
      </c>
      <c r="T99" s="67">
        <f t="shared" si="29"/>
        <v>64.535454033854265</v>
      </c>
      <c r="U99" s="67">
        <f t="shared" si="30"/>
        <v>62.621667921412715</v>
      </c>
      <c r="V99" s="119">
        <f t="shared" si="40"/>
        <v>63.578560977633487</v>
      </c>
      <c r="W99" s="68">
        <f t="shared" si="70"/>
        <v>2.5455023949510225</v>
      </c>
      <c r="X99" s="68">
        <f t="shared" si="71"/>
        <v>2.2045152088981657</v>
      </c>
      <c r="Y99" s="118">
        <f t="shared" si="41"/>
        <v>2.3750088019245941</v>
      </c>
      <c r="Z99" s="68">
        <f t="shared" si="72"/>
        <v>2.5945903588804531</v>
      </c>
      <c r="AA99" s="68">
        <f t="shared" si="73"/>
        <v>2.4136505010764293</v>
      </c>
      <c r="AB99" s="118">
        <f t="shared" si="59"/>
        <v>2.5041204299784412</v>
      </c>
      <c r="AD99" s="143">
        <f t="shared" si="42"/>
        <v>0.95005110904647927</v>
      </c>
      <c r="AE99" s="143">
        <f t="shared" si="43"/>
        <v>0.9599718245156118</v>
      </c>
      <c r="AF99" s="143">
        <f t="shared" si="44"/>
        <v>0.97034519798314878</v>
      </c>
    </row>
    <row r="100" spans="1:32" x14ac:dyDescent="0.25">
      <c r="A100" s="40">
        <v>112</v>
      </c>
      <c r="B100" s="64">
        <f t="shared" si="25"/>
        <v>68.507311152166523</v>
      </c>
      <c r="C100" s="64">
        <f t="shared" si="26"/>
        <v>65.045031924375607</v>
      </c>
      <c r="D100" s="116">
        <f t="shared" si="35"/>
        <v>66.776171538271058</v>
      </c>
      <c r="E100" s="65">
        <f t="shared" si="62"/>
        <v>2.5151490076641658</v>
      </c>
      <c r="F100" s="65">
        <f t="shared" si="63"/>
        <v>2.1279267733758229</v>
      </c>
      <c r="G100" s="116">
        <f t="shared" si="36"/>
        <v>2.3215378905199944</v>
      </c>
      <c r="H100" s="65">
        <f t="shared" si="64"/>
        <v>2.4484004933924757</v>
      </c>
      <c r="I100" s="65">
        <f t="shared" si="65"/>
        <v>2.2745524434440103</v>
      </c>
      <c r="J100" s="116">
        <f t="shared" si="54"/>
        <v>2.361476468418243</v>
      </c>
      <c r="K100" s="66">
        <f t="shared" si="60"/>
        <v>67.013006672584339</v>
      </c>
      <c r="L100" s="66">
        <f t="shared" si="61"/>
        <v>64.291040928581197</v>
      </c>
      <c r="M100" s="66">
        <f t="shared" si="37"/>
        <v>65.652023800582768</v>
      </c>
      <c r="N100" s="69">
        <f t="shared" si="66"/>
        <v>2.5418717325692164</v>
      </c>
      <c r="O100" s="69">
        <f t="shared" si="67"/>
        <v>2.1748340346781507</v>
      </c>
      <c r="P100" s="123">
        <f t="shared" si="38"/>
        <v>2.3583528836236836</v>
      </c>
      <c r="Q100" s="69">
        <f t="shared" si="68"/>
        <v>2.5303783633683512</v>
      </c>
      <c r="R100" s="69">
        <f t="shared" si="69"/>
        <v>2.3508358440295698</v>
      </c>
      <c r="S100" s="123">
        <f t="shared" si="39"/>
        <v>2.4406071036989605</v>
      </c>
      <c r="T100" s="67">
        <f t="shared" si="29"/>
        <v>65.51870219300217</v>
      </c>
      <c r="U100" s="67">
        <f t="shared" si="30"/>
        <v>63.537049932786772</v>
      </c>
      <c r="V100" s="119">
        <f t="shared" si="40"/>
        <v>64.527876062894478</v>
      </c>
      <c r="W100" s="68">
        <f t="shared" si="70"/>
        <v>2.568594457474267</v>
      </c>
      <c r="X100" s="68">
        <f t="shared" si="71"/>
        <v>2.2217412959804781</v>
      </c>
      <c r="Y100" s="118">
        <f t="shared" si="41"/>
        <v>2.3951678767273723</v>
      </c>
      <c r="Z100" s="68">
        <f t="shared" si="72"/>
        <v>2.6123562333442272</v>
      </c>
      <c r="AA100" s="68">
        <f t="shared" si="73"/>
        <v>2.4271192446151297</v>
      </c>
      <c r="AB100" s="118">
        <f t="shared" si="59"/>
        <v>2.5197377389796785</v>
      </c>
      <c r="AD100" s="143">
        <f t="shared" si="42"/>
        <v>0.94946117181419365</v>
      </c>
      <c r="AE100" s="143">
        <f t="shared" si="43"/>
        <v>0.9593815308526259</v>
      </c>
      <c r="AF100" s="143">
        <f t="shared" si="44"/>
        <v>0.96975440303475591</v>
      </c>
    </row>
    <row r="101" spans="1:32" x14ac:dyDescent="0.25">
      <c r="A101" s="40">
        <v>113</v>
      </c>
      <c r="B101" s="64">
        <f t="shared" si="25"/>
        <v>69.536625940295579</v>
      </c>
      <c r="C101" s="64">
        <f t="shared" si="26"/>
        <v>65.982450832889526</v>
      </c>
      <c r="D101" s="116">
        <f t="shared" si="35"/>
        <v>67.759538386592553</v>
      </c>
      <c r="E101" s="65">
        <f t="shared" si="62"/>
        <v>2.5342095220876959</v>
      </c>
      <c r="F101" s="65">
        <f t="shared" si="63"/>
        <v>2.1425159043896684</v>
      </c>
      <c r="G101" s="116">
        <f t="shared" si="36"/>
        <v>2.3383627132386824</v>
      </c>
      <c r="H101" s="65">
        <f t="shared" si="64"/>
        <v>2.4620354738068273</v>
      </c>
      <c r="I101" s="65">
        <f t="shared" si="65"/>
        <v>2.2855479923977393</v>
      </c>
      <c r="J101" s="116">
        <f t="shared" si="54"/>
        <v>2.3737917331022835</v>
      </c>
      <c r="K101" s="66">
        <f t="shared" si="60"/>
        <v>68.020297606535706</v>
      </c>
      <c r="L101" s="66">
        <f t="shared" si="61"/>
        <v>65.21839795683897</v>
      </c>
      <c r="M101" s="66">
        <f t="shared" si="37"/>
        <v>66.619347781687338</v>
      </c>
      <c r="N101" s="69">
        <f t="shared" si="66"/>
        <v>2.562701018015769</v>
      </c>
      <c r="O101" s="69">
        <f t="shared" si="67"/>
        <v>2.1906316853231882</v>
      </c>
      <c r="P101" s="123">
        <f t="shared" si="38"/>
        <v>2.3766663516694786</v>
      </c>
      <c r="Q101" s="69">
        <f t="shared" si="68"/>
        <v>2.5459873360800618</v>
      </c>
      <c r="R101" s="69">
        <f t="shared" si="69"/>
        <v>2.3630723217344722</v>
      </c>
      <c r="S101" s="123">
        <f t="shared" si="39"/>
        <v>2.4545298289072672</v>
      </c>
      <c r="T101" s="67">
        <f t="shared" si="29"/>
        <v>66.503969272775834</v>
      </c>
      <c r="U101" s="67">
        <f t="shared" si="30"/>
        <v>64.454345080788428</v>
      </c>
      <c r="V101" s="119">
        <f t="shared" si="40"/>
        <v>65.479157176782138</v>
      </c>
      <c r="W101" s="68">
        <f t="shared" si="70"/>
        <v>2.5911925139438416</v>
      </c>
      <c r="X101" s="68">
        <f t="shared" si="71"/>
        <v>2.2387474662567084</v>
      </c>
      <c r="Y101" s="118">
        <f t="shared" si="41"/>
        <v>2.4149699901002748</v>
      </c>
      <c r="Z101" s="68">
        <f t="shared" si="72"/>
        <v>2.6299391983532958</v>
      </c>
      <c r="AA101" s="68">
        <f t="shared" si="73"/>
        <v>2.4405966510712052</v>
      </c>
      <c r="AB101" s="118">
        <f t="shared" si="59"/>
        <v>2.5352679247122505</v>
      </c>
      <c r="AD101" s="143">
        <f t="shared" si="42"/>
        <v>0.94888772557849321</v>
      </c>
      <c r="AE101" s="143">
        <f t="shared" si="43"/>
        <v>0.9588078889936007</v>
      </c>
      <c r="AF101" s="143">
        <f t="shared" si="44"/>
        <v>0.9691804231476685</v>
      </c>
    </row>
    <row r="102" spans="1:32" x14ac:dyDescent="0.25">
      <c r="A102" s="40">
        <v>114</v>
      </c>
      <c r="B102" s="64">
        <f t="shared" si="25"/>
        <v>70.567839534435805</v>
      </c>
      <c r="C102" s="64">
        <f t="shared" si="26"/>
        <v>66.92163447736219</v>
      </c>
      <c r="D102" s="116">
        <f t="shared" si="35"/>
        <v>68.744737005898997</v>
      </c>
      <c r="E102" s="65">
        <f t="shared" si="62"/>
        <v>2.5527490185158879</v>
      </c>
      <c r="F102" s="65">
        <f t="shared" si="63"/>
        <v>2.1568987855818613</v>
      </c>
      <c r="G102" s="116">
        <f t="shared" si="36"/>
        <v>2.3548239020488744</v>
      </c>
      <c r="H102" s="65">
        <f t="shared" si="64"/>
        <v>2.4754803786738684</v>
      </c>
      <c r="I102" s="65">
        <f t="shared" si="65"/>
        <v>2.2965676609423125</v>
      </c>
      <c r="J102" s="116">
        <f t="shared" si="54"/>
        <v>2.3860240198080902</v>
      </c>
      <c r="K102" s="66">
        <f t="shared" si="60"/>
        <v>69.029473865499881</v>
      </c>
      <c r="L102" s="66">
        <f t="shared" si="61"/>
        <v>66.147536630942824</v>
      </c>
      <c r="M102" s="66">
        <f t="shared" si="37"/>
        <v>67.588505248221352</v>
      </c>
      <c r="N102" s="69">
        <f t="shared" si="66"/>
        <v>2.5830235826657297</v>
      </c>
      <c r="O102" s="69">
        <f t="shared" si="67"/>
        <v>2.2062165439237624</v>
      </c>
      <c r="P102" s="123">
        <f t="shared" si="38"/>
        <v>2.3946200632947461</v>
      </c>
      <c r="Q102" s="69">
        <f t="shared" si="68"/>
        <v>2.561413121201042</v>
      </c>
      <c r="R102" s="69">
        <f t="shared" si="69"/>
        <v>2.375326455776706</v>
      </c>
      <c r="S102" s="123">
        <f t="shared" si="39"/>
        <v>2.4683697884888742</v>
      </c>
      <c r="T102" s="67">
        <f t="shared" si="29"/>
        <v>67.491108196563943</v>
      </c>
      <c r="U102" s="67">
        <f t="shared" si="30"/>
        <v>65.373438784523458</v>
      </c>
      <c r="V102" s="119">
        <f t="shared" si="40"/>
        <v>66.432273490543707</v>
      </c>
      <c r="W102" s="68">
        <f t="shared" si="70"/>
        <v>2.613298146815572</v>
      </c>
      <c r="X102" s="68">
        <f t="shared" si="71"/>
        <v>2.2555343022656635</v>
      </c>
      <c r="Y102" s="118">
        <f t="shared" si="41"/>
        <v>2.4344162245406178</v>
      </c>
      <c r="Z102" s="68">
        <f t="shared" si="72"/>
        <v>2.6473458637282152</v>
      </c>
      <c r="AA102" s="68">
        <f t="shared" si="73"/>
        <v>2.4540852506110995</v>
      </c>
      <c r="AB102" s="118">
        <f t="shared" si="59"/>
        <v>2.5507155571696574</v>
      </c>
      <c r="AD102" s="143">
        <f t="shared" si="42"/>
        <v>0.9483304989761755</v>
      </c>
      <c r="AE102" s="143">
        <f t="shared" si="43"/>
        <v>0.95825062725854826</v>
      </c>
      <c r="AF102" s="143">
        <f t="shared" si="44"/>
        <v>0.96862298651441769</v>
      </c>
    </row>
    <row r="103" spans="1:32" x14ac:dyDescent="0.25">
      <c r="A103" s="40">
        <v>115</v>
      </c>
      <c r="B103" s="64">
        <f t="shared" si="25"/>
        <v>71.600799696449656</v>
      </c>
      <c r="C103" s="64">
        <f t="shared" si="26"/>
        <v>67.862466420061367</v>
      </c>
      <c r="D103" s="116">
        <f t="shared" si="35"/>
        <v>69.731633058255511</v>
      </c>
      <c r="E103" s="65">
        <f t="shared" si="62"/>
        <v>2.5707735221848322</v>
      </c>
      <c r="F103" s="65">
        <f t="shared" si="63"/>
        <v>2.1710767566279996</v>
      </c>
      <c r="G103" s="116">
        <f t="shared" si="36"/>
        <v>2.3709251394064159</v>
      </c>
      <c r="H103" s="65">
        <f t="shared" si="64"/>
        <v>2.4887441130090378</v>
      </c>
      <c r="I103" s="65">
        <f t="shared" si="65"/>
        <v>2.3076137810535453</v>
      </c>
      <c r="J103" s="116">
        <f t="shared" si="54"/>
        <v>2.3981789470312913</v>
      </c>
      <c r="K103" s="66">
        <f t="shared" si="60"/>
        <v>70.040386568407257</v>
      </c>
      <c r="L103" s="66">
        <f t="shared" si="61"/>
        <v>67.078342040115331</v>
      </c>
      <c r="M103" s="66">
        <f t="shared" si="37"/>
        <v>68.559364304261294</v>
      </c>
      <c r="N103" s="69">
        <f t="shared" si="66"/>
        <v>2.602843500615708</v>
      </c>
      <c r="O103" s="69">
        <f t="shared" si="67"/>
        <v>2.2215896256366241</v>
      </c>
      <c r="P103" s="123">
        <f t="shared" si="38"/>
        <v>2.4122165631261661</v>
      </c>
      <c r="Q103" s="69">
        <f t="shared" si="68"/>
        <v>2.5766635368475468</v>
      </c>
      <c r="R103" s="69">
        <f t="shared" si="69"/>
        <v>2.3876006681324728</v>
      </c>
      <c r="S103" s="123">
        <f t="shared" si="39"/>
        <v>2.4821321024900098</v>
      </c>
      <c r="T103" s="67">
        <f t="shared" si="29"/>
        <v>68.479973440364859</v>
      </c>
      <c r="U103" s="67">
        <f t="shared" si="30"/>
        <v>66.294217660169309</v>
      </c>
      <c r="V103" s="119">
        <f t="shared" si="40"/>
        <v>67.387095550267077</v>
      </c>
      <c r="W103" s="68">
        <f t="shared" si="70"/>
        <v>2.6349134790465838</v>
      </c>
      <c r="X103" s="68">
        <f t="shared" si="71"/>
        <v>2.2721024946452486</v>
      </c>
      <c r="Y103" s="118">
        <f t="shared" si="41"/>
        <v>2.4535079868459162</v>
      </c>
      <c r="Z103" s="68">
        <f t="shared" si="72"/>
        <v>2.6645829606860563</v>
      </c>
      <c r="AA103" s="68">
        <f t="shared" si="73"/>
        <v>2.4675875552114008</v>
      </c>
      <c r="AB103" s="118">
        <f t="shared" si="59"/>
        <v>2.5660852579487283</v>
      </c>
      <c r="AD103" s="143">
        <f t="shared" si="42"/>
        <v>0.94778922453049563</v>
      </c>
      <c r="AE103" s="143">
        <f t="shared" si="43"/>
        <v>0.95770947772541282</v>
      </c>
      <c r="AF103" s="143">
        <f t="shared" si="44"/>
        <v>0.96808182494260175</v>
      </c>
    </row>
    <row r="104" spans="1:32" x14ac:dyDescent="0.25">
      <c r="A104" s="40">
        <v>116</v>
      </c>
      <c r="B104" s="64">
        <f t="shared" si="25"/>
        <v>72.63535588203689</v>
      </c>
      <c r="C104" s="64">
        <f t="shared" si="26"/>
        <v>68.804831503371915</v>
      </c>
      <c r="D104" s="116">
        <f t="shared" si="35"/>
        <v>70.72009369270441</v>
      </c>
      <c r="E104" s="65">
        <f t="shared" si="62"/>
        <v>2.5882895184013046</v>
      </c>
      <c r="F104" s="65">
        <f t="shared" si="63"/>
        <v>2.1850512290860653</v>
      </c>
      <c r="G104" s="116">
        <f t="shared" si="36"/>
        <v>2.386670373743685</v>
      </c>
      <c r="H104" s="65">
        <f t="shared" si="64"/>
        <v>2.5018356223274041</v>
      </c>
      <c r="I104" s="65">
        <f t="shared" si="65"/>
        <v>2.318688656640306</v>
      </c>
      <c r="J104" s="116">
        <f t="shared" si="54"/>
        <v>2.410262139483855</v>
      </c>
      <c r="K104" s="66">
        <f t="shared" si="60"/>
        <v>71.052888476606171</v>
      </c>
      <c r="L104" s="66">
        <f t="shared" si="61"/>
        <v>68.010700521825171</v>
      </c>
      <c r="M104" s="66">
        <f t="shared" si="37"/>
        <v>69.531794499215664</v>
      </c>
      <c r="N104" s="69">
        <f t="shared" si="66"/>
        <v>2.6221653324665741</v>
      </c>
      <c r="O104" s="69">
        <f t="shared" si="67"/>
        <v>2.2367520331630684</v>
      </c>
      <c r="P104" s="123">
        <f t="shared" si="38"/>
        <v>2.429458682814821</v>
      </c>
      <c r="Q104" s="69">
        <f t="shared" si="68"/>
        <v>2.5917464748448649</v>
      </c>
      <c r="R104" s="69">
        <f t="shared" si="69"/>
        <v>2.3998973572624998</v>
      </c>
      <c r="S104" s="123">
        <f t="shared" si="39"/>
        <v>2.4958219160536821</v>
      </c>
      <c r="T104" s="67">
        <f>(1.599+((289.85-1.599)*(($A104/196.55)^2.2196)))/(1+(($A104 / 196.55)^2.2196))</f>
        <v>69.470421071175437</v>
      </c>
      <c r="U104" s="67">
        <f t="shared" si="30"/>
        <v>67.216569540278428</v>
      </c>
      <c r="V104" s="119">
        <f t="shared" si="40"/>
        <v>68.343495305726933</v>
      </c>
      <c r="W104" s="68">
        <f t="shared" si="70"/>
        <v>2.6560411465318432</v>
      </c>
      <c r="X104" s="68">
        <f t="shared" si="71"/>
        <v>2.2884528372400714</v>
      </c>
      <c r="Y104" s="118">
        <f t="shared" si="41"/>
        <v>2.4722469918859575</v>
      </c>
      <c r="Z104" s="68">
        <f t="shared" si="72"/>
        <v>2.6816573273623256</v>
      </c>
      <c r="AA104" s="68">
        <f t="shared" si="73"/>
        <v>2.4811060578846935</v>
      </c>
      <c r="AB104" s="118">
        <f t="shared" si="59"/>
        <v>2.5813816926235096</v>
      </c>
      <c r="AD104" s="143">
        <f t="shared" si="42"/>
        <v>0.94726363859377349</v>
      </c>
      <c r="AE104" s="143">
        <f t="shared" si="43"/>
        <v>0.95718417618190677</v>
      </c>
      <c r="AF104" s="143">
        <f t="shared" si="44"/>
        <v>0.96755667381679111</v>
      </c>
    </row>
    <row r="105" spans="1:32" x14ac:dyDescent="0.25">
      <c r="A105" s="40">
        <v>117</v>
      </c>
      <c r="B105" s="64">
        <f>(1.599 + ((301.48 - 1.599)*(($A105/195.9)^2.2191)))/(1 + (($A105 / 195.9)^2.2191))</f>
        <v>73.671359278368115</v>
      </c>
      <c r="C105" s="64">
        <f t="shared" si="26"/>
        <v>69.748615868196353</v>
      </c>
      <c r="D105" s="116">
        <f t="shared" si="35"/>
        <v>71.709987573282234</v>
      </c>
      <c r="E105" s="65">
        <f t="shared" si="62"/>
        <v>2.6053039160963842</v>
      </c>
      <c r="F105" s="65">
        <f t="shared" si="63"/>
        <v>2.1988236821409757</v>
      </c>
      <c r="G105" s="116">
        <f t="shared" si="36"/>
        <v>2.4020637991186797</v>
      </c>
      <c r="H105" s="65">
        <f t="shared" si="64"/>
        <v>2.5147638756035819</v>
      </c>
      <c r="I105" s="65">
        <f t="shared" si="65"/>
        <v>2.3297945633481634</v>
      </c>
      <c r="J105" s="116">
        <f t="shared" si="54"/>
        <v>2.4222792194758727</v>
      </c>
      <c r="K105" s="66">
        <f t="shared" si="60"/>
        <v>72.066834030886469</v>
      </c>
      <c r="L105" s="66">
        <f t="shared" si="61"/>
        <v>68.944499680106162</v>
      </c>
      <c r="M105" s="66">
        <f t="shared" si="37"/>
        <v>70.505666855496315</v>
      </c>
      <c r="N105" s="69">
        <f t="shared" si="66"/>
        <v>2.6409940933217344</v>
      </c>
      <c r="O105" s="69">
        <f t="shared" si="67"/>
        <v>2.2517049522217336</v>
      </c>
      <c r="P105" s="123">
        <f t="shared" si="38"/>
        <v>2.446349522771734</v>
      </c>
      <c r="Q105" s="69">
        <f t="shared" si="68"/>
        <v>2.6066698851899686</v>
      </c>
      <c r="R105" s="69">
        <f t="shared" si="69"/>
        <v>2.4122188976596259</v>
      </c>
      <c r="S105" s="123">
        <f t="shared" si="39"/>
        <v>2.5094443914247972</v>
      </c>
      <c r="T105" s="67">
        <f t="shared" si="29"/>
        <v>70.462308783404822</v>
      </c>
      <c r="U105" s="67">
        <f t="shared" si="30"/>
        <v>68.140383492015957</v>
      </c>
      <c r="V105" s="119">
        <f t="shared" si="40"/>
        <v>69.301346137710397</v>
      </c>
      <c r="W105" s="68">
        <f t="shared" si="70"/>
        <v>2.676684270547085</v>
      </c>
      <c r="X105" s="68">
        <f t="shared" si="71"/>
        <v>2.3045862223024915</v>
      </c>
      <c r="Y105" s="118">
        <f t="shared" si="41"/>
        <v>2.4906352464247883</v>
      </c>
      <c r="Z105" s="68">
        <f t="shared" si="72"/>
        <v>2.6985758947763556</v>
      </c>
      <c r="AA105" s="68">
        <f t="shared" si="73"/>
        <v>2.4946432319710881</v>
      </c>
      <c r="AB105" s="118">
        <f t="shared" si="59"/>
        <v>2.5966095633737218</v>
      </c>
      <c r="AD105" s="143">
        <f t="shared" si="42"/>
        <v>0.9467534812904751</v>
      </c>
      <c r="AE105" s="143">
        <f t="shared" si="43"/>
        <v>0.95667446207721385</v>
      </c>
      <c r="AF105" s="143">
        <f t="shared" si="44"/>
        <v>0.96704727205964447</v>
      </c>
    </row>
    <row r="106" spans="1:32" x14ac:dyDescent="0.25">
      <c r="A106" s="40">
        <v>118</v>
      </c>
      <c r="B106" s="64">
        <f t="shared" si="25"/>
        <v>74.708662839653115</v>
      </c>
      <c r="C106" s="64">
        <f t="shared" si="26"/>
        <v>70.693706971254755</v>
      </c>
      <c r="D106" s="116">
        <f t="shared" si="35"/>
        <v>72.701184905453943</v>
      </c>
      <c r="E106" s="65">
        <f t="shared" si="62"/>
        <v>2.6218240121016487</v>
      </c>
      <c r="F106" s="65">
        <f t="shared" si="63"/>
        <v>2.2123956584687829</v>
      </c>
      <c r="G106" s="116">
        <f t="shared" si="36"/>
        <v>2.4171098352852161</v>
      </c>
      <c r="H106" s="65">
        <f t="shared" si="64"/>
        <v>2.5275378490494735</v>
      </c>
      <c r="I106" s="65">
        <f t="shared" si="65"/>
        <v>2.3409337484071808</v>
      </c>
      <c r="J106" s="116">
        <f t="shared" si="54"/>
        <v>2.4342357987283272</v>
      </c>
      <c r="K106" s="66">
        <f t="shared" si="60"/>
        <v>73.082079386493319</v>
      </c>
      <c r="L106" s="66">
        <f t="shared" si="61"/>
        <v>69.879628402800449</v>
      </c>
      <c r="M106" s="66">
        <f t="shared" si="37"/>
        <v>71.480853894646884</v>
      </c>
      <c r="N106" s="69">
        <f t="shared" si="66"/>
        <v>2.6593352211970029</v>
      </c>
      <c r="O106" s="69">
        <f t="shared" si="67"/>
        <v>2.2664496471294417</v>
      </c>
      <c r="P106" s="123">
        <f t="shared" si="38"/>
        <v>2.4628924341632223</v>
      </c>
      <c r="Q106" s="69">
        <f t="shared" si="68"/>
        <v>2.6214417611527367</v>
      </c>
      <c r="R106" s="69">
        <f t="shared" si="69"/>
        <v>2.4245676394484432</v>
      </c>
      <c r="S106" s="123">
        <f t="shared" si="39"/>
        <v>2.5230047003005902</v>
      </c>
      <c r="T106" s="67">
        <f t="shared" si="29"/>
        <v>71.455495933333523</v>
      </c>
      <c r="U106" s="67">
        <f t="shared" si="30"/>
        <v>69.065549834346129</v>
      </c>
      <c r="V106" s="119">
        <f t="shared" si="40"/>
        <v>70.260522883839826</v>
      </c>
      <c r="W106" s="68">
        <f t="shared" si="70"/>
        <v>2.6968464302923572</v>
      </c>
      <c r="X106" s="68">
        <f t="shared" si="71"/>
        <v>2.3205036357901005</v>
      </c>
      <c r="Y106" s="118">
        <f t="shared" si="41"/>
        <v>2.5086750330412286</v>
      </c>
      <c r="Z106" s="68">
        <f t="shared" si="72"/>
        <v>2.715345673256</v>
      </c>
      <c r="AA106" s="68">
        <f t="shared" si="73"/>
        <v>2.5082015304897056</v>
      </c>
      <c r="AB106" s="118">
        <f t="shared" si="59"/>
        <v>2.6117736018728528</v>
      </c>
      <c r="AD106" s="143">
        <f t="shared" si="42"/>
        <v>0.94625849646090388</v>
      </c>
      <c r="AE106" s="143">
        <f t="shared" si="43"/>
        <v>0.95618007847372866</v>
      </c>
      <c r="AF106" s="143">
        <f t="shared" si="44"/>
        <v>0.96655336209243914</v>
      </c>
    </row>
    <row r="107" spans="1:32" x14ac:dyDescent="0.25">
      <c r="A107" s="40">
        <v>119</v>
      </c>
      <c r="B107" s="64">
        <f t="shared" si="25"/>
        <v>75.7471213206681</v>
      </c>
      <c r="C107" s="64">
        <f t="shared" si="26"/>
        <v>71.639993601298841</v>
      </c>
      <c r="D107" s="116">
        <f t="shared" si="35"/>
        <v>73.69355746098347</v>
      </c>
      <c r="E107" s="65">
        <f t="shared" si="62"/>
        <v>2.6378574562428927</v>
      </c>
      <c r="F107" s="65">
        <f t="shared" si="63"/>
        <v>2.2257687602207334</v>
      </c>
      <c r="G107" s="116">
        <f t="shared" si="36"/>
        <v>2.4318131082318128</v>
      </c>
      <c r="H107" s="65">
        <f t="shared" si="64"/>
        <v>2.5401665107156357</v>
      </c>
      <c r="I107" s="65">
        <f t="shared" si="65"/>
        <v>2.3521084305260032</v>
      </c>
      <c r="J107" s="116">
        <f t="shared" si="54"/>
        <v>2.4461374706208194</v>
      </c>
      <c r="K107" s="66">
        <f t="shared" si="60"/>
        <v>74.098482446153483</v>
      </c>
      <c r="L107" s="66">
        <f t="shared" si="61"/>
        <v>70.815976877740241</v>
      </c>
      <c r="M107" s="66">
        <f t="shared" si="37"/>
        <v>72.457229661946855</v>
      </c>
      <c r="N107" s="69">
        <f t="shared" si="66"/>
        <v>2.6771945459336282</v>
      </c>
      <c r="O107" s="69">
        <f t="shared" si="67"/>
        <v>2.2809874564915038</v>
      </c>
      <c r="P107" s="123">
        <f t="shared" si="38"/>
        <v>2.479091001212566</v>
      </c>
      <c r="Q107" s="69">
        <f t="shared" si="68"/>
        <v>2.6360701250275262</v>
      </c>
      <c r="R107" s="69">
        <f t="shared" si="69"/>
        <v>2.436945908037492</v>
      </c>
      <c r="S107" s="123">
        <f t="shared" si="39"/>
        <v>2.5365080165325091</v>
      </c>
      <c r="T107" s="67">
        <f t="shared" si="29"/>
        <v>72.449843571638866</v>
      </c>
      <c r="U107" s="67">
        <f t="shared" si="30"/>
        <v>69.991960154181626</v>
      </c>
      <c r="V107" s="119">
        <f t="shared" si="40"/>
        <v>71.220901862910239</v>
      </c>
      <c r="W107" s="68">
        <f t="shared" si="70"/>
        <v>2.7165316356243641</v>
      </c>
      <c r="X107" s="68">
        <f t="shared" si="71"/>
        <v>2.3362061527622746</v>
      </c>
      <c r="Y107" s="118">
        <f t="shared" si="41"/>
        <v>2.5263688941933191</v>
      </c>
      <c r="Z107" s="68">
        <f t="shared" si="72"/>
        <v>2.7319737393394172</v>
      </c>
      <c r="AA107" s="68">
        <f t="shared" si="73"/>
        <v>2.5217833855489808</v>
      </c>
      <c r="AB107" s="118">
        <f t="shared" si="59"/>
        <v>2.6268785624441993</v>
      </c>
      <c r="AD107" s="143">
        <f t="shared" si="42"/>
        <v>0.94577843160557706</v>
      </c>
      <c r="AE107" s="143">
        <f t="shared" si="43"/>
        <v>0.95570077199895964</v>
      </c>
      <c r="AF107" s="143">
        <f t="shared" si="44"/>
        <v>0.96607468979519784</v>
      </c>
    </row>
    <row r="108" spans="1:32" x14ac:dyDescent="0.25">
      <c r="A108" s="40">
        <v>120</v>
      </c>
      <c r="B108" s="64">
        <f t="shared" si="25"/>
        <v>76.786591308267006</v>
      </c>
      <c r="C108" s="64">
        <f t="shared" si="26"/>
        <v>72.587365894257189</v>
      </c>
      <c r="D108" s="116">
        <f t="shared" si="35"/>
        <v>74.686978601262098</v>
      </c>
      <c r="E108" s="65">
        <f t="shared" si="62"/>
        <v>2.6534122173361396</v>
      </c>
      <c r="F108" s="65">
        <f t="shared" si="63"/>
        <v>2.2389446451271477</v>
      </c>
      <c r="G108" s="116">
        <f t="shared" si="36"/>
        <v>2.4461784312316439</v>
      </c>
      <c r="H108" s="65">
        <f t="shared" si="64"/>
        <v>2.5526588059221536</v>
      </c>
      <c r="I108" s="65">
        <f t="shared" si="65"/>
        <v>2.3633207998258219</v>
      </c>
      <c r="J108" s="116">
        <f t="shared" si="54"/>
        <v>2.4579898028739877</v>
      </c>
      <c r="K108" s="66">
        <f t="shared" si="60"/>
        <v>75.115902891138717</v>
      </c>
      <c r="L108" s="66">
        <f t="shared" si="61"/>
        <v>71.753436607884041</v>
      </c>
      <c r="M108" s="66">
        <f t="shared" si="37"/>
        <v>73.434669749511386</v>
      </c>
      <c r="N108" s="69">
        <f t="shared" si="66"/>
        <v>2.694578258697879</v>
      </c>
      <c r="O108" s="69">
        <f t="shared" si="67"/>
        <v>2.2953197890026305</v>
      </c>
      <c r="P108" s="123">
        <f t="shared" si="38"/>
        <v>2.4949490238502547</v>
      </c>
      <c r="Q108" s="69">
        <f t="shared" si="68"/>
        <v>2.6505630145431809</v>
      </c>
      <c r="R108" s="69">
        <f t="shared" si="69"/>
        <v>2.4493560038192164</v>
      </c>
      <c r="S108" s="123">
        <f t="shared" si="39"/>
        <v>2.5499595091811988</v>
      </c>
      <c r="T108" s="67">
        <f t="shared" si="29"/>
        <v>73.445214474010427</v>
      </c>
      <c r="U108" s="67">
        <f t="shared" si="30"/>
        <v>70.919507321510892</v>
      </c>
      <c r="V108" s="119">
        <f t="shared" si="40"/>
        <v>72.18236089776066</v>
      </c>
      <c r="W108" s="68">
        <f t="shared" si="70"/>
        <v>2.7357443000596184</v>
      </c>
      <c r="X108" s="68">
        <f t="shared" si="71"/>
        <v>2.3516949328781127</v>
      </c>
      <c r="Y108" s="118">
        <f t="shared" si="41"/>
        <v>2.5437196164688656</v>
      </c>
      <c r="Z108" s="68">
        <f t="shared" si="72"/>
        <v>2.7484672231642082</v>
      </c>
      <c r="AA108" s="68">
        <f t="shared" si="73"/>
        <v>2.5353912078126108</v>
      </c>
      <c r="AB108" s="118">
        <f t="shared" si="59"/>
        <v>2.6419292154884095</v>
      </c>
      <c r="AD108" s="143">
        <f t="shared" si="42"/>
        <v>0.9453130378303729</v>
      </c>
      <c r="AE108" s="143">
        <f t="shared" si="43"/>
        <v>0.95523629279770872</v>
      </c>
      <c r="AF108" s="143">
        <f t="shared" si="44"/>
        <v>0.96561100446655668</v>
      </c>
    </row>
    <row r="109" spans="1:32" x14ac:dyDescent="0.25">
      <c r="A109" s="40">
        <v>121</v>
      </c>
      <c r="B109" s="64">
        <f t="shared" si="25"/>
        <v>77.826931250904209</v>
      </c>
      <c r="C109" s="64">
        <f t="shared" si="26"/>
        <v>73.535715347328164</v>
      </c>
      <c r="D109" s="116">
        <f t="shared" si="35"/>
        <v>75.681323299116187</v>
      </c>
      <c r="E109" s="65">
        <f t="shared" si="62"/>
        <v>2.6684965501608757</v>
      </c>
      <c r="F109" s="65">
        <f t="shared" si="63"/>
        <v>2.251925022720846</v>
      </c>
      <c r="G109" s="116">
        <f t="shared" si="36"/>
        <v>2.4602107864408609</v>
      </c>
      <c r="H109" s="65">
        <f t="shared" si="64"/>
        <v>2.5650236435182783</v>
      </c>
      <c r="I109" s="65">
        <f t="shared" si="65"/>
        <v>2.3745730178138365</v>
      </c>
      <c r="J109" s="116">
        <f t="shared" si="54"/>
        <v>2.4697983306660571</v>
      </c>
      <c r="K109" s="66">
        <f t="shared" si="60"/>
        <v>76.13420221039209</v>
      </c>
      <c r="L109" s="66">
        <f t="shared" si="61"/>
        <v>72.691900425423455</v>
      </c>
      <c r="M109" s="66">
        <f t="shared" si="37"/>
        <v>74.413051317907772</v>
      </c>
      <c r="N109" s="69">
        <f t="shared" si="66"/>
        <v>2.7114928821425921</v>
      </c>
      <c r="O109" s="69">
        <f t="shared" si="67"/>
        <v>2.3094481193592769</v>
      </c>
      <c r="P109" s="123">
        <f t="shared" si="38"/>
        <v>2.5104705007509347</v>
      </c>
      <c r="Q109" s="69">
        <f t="shared" si="68"/>
        <v>2.6649284699371547</v>
      </c>
      <c r="R109" s="69">
        <f t="shared" si="69"/>
        <v>2.4618002019163927</v>
      </c>
      <c r="S109" s="123">
        <f t="shared" si="39"/>
        <v>2.5633643359267735</v>
      </c>
      <c r="T109" s="67">
        <f t="shared" si="29"/>
        <v>74.441473169879956</v>
      </c>
      <c r="U109" s="67">
        <f t="shared" si="30"/>
        <v>71.848085503518746</v>
      </c>
      <c r="V109" s="119">
        <f t="shared" si="40"/>
        <v>73.144779336699344</v>
      </c>
      <c r="W109" s="68">
        <f t="shared" si="70"/>
        <v>2.7544892141243085</v>
      </c>
      <c r="X109" s="68">
        <f t="shared" si="71"/>
        <v>2.3669712159977081</v>
      </c>
      <c r="Y109" s="118">
        <f t="shared" si="41"/>
        <v>2.5607302150610085</v>
      </c>
      <c r="Z109" s="68">
        <f t="shared" si="72"/>
        <v>2.7648332963560311</v>
      </c>
      <c r="AA109" s="68">
        <f t="shared" si="73"/>
        <v>2.549027386018949</v>
      </c>
      <c r="AB109" s="118">
        <f t="shared" si="59"/>
        <v>2.6569303411874898</v>
      </c>
      <c r="AD109" s="143">
        <f t="shared" si="42"/>
        <v>0.94486206979250276</v>
      </c>
      <c r="AE109" s="143">
        <f t="shared" si="43"/>
        <v>0.95478639448462266</v>
      </c>
      <c r="AF109" s="143">
        <f t="shared" si="44"/>
        <v>0.9651620587835098</v>
      </c>
    </row>
    <row r="110" spans="1:32" x14ac:dyDescent="0.25">
      <c r="A110" s="40">
        <v>122</v>
      </c>
      <c r="B110" s="64">
        <f t="shared" si="25"/>
        <v>78.868001486196817</v>
      </c>
      <c r="C110" s="64">
        <f t="shared" si="26"/>
        <v>74.484934832037936</v>
      </c>
      <c r="D110" s="116">
        <f t="shared" si="35"/>
        <v>76.676468159117377</v>
      </c>
      <c r="E110" s="65">
        <f t="shared" si="62"/>
        <v>2.6831189634757475</v>
      </c>
      <c r="F110" s="65">
        <f t="shared" si="63"/>
        <v>2.2647116506796459</v>
      </c>
      <c r="G110" s="116">
        <f t="shared" si="36"/>
        <v>2.4739153070776965</v>
      </c>
      <c r="H110" s="65">
        <f t="shared" si="64"/>
        <v>2.5772698829696323</v>
      </c>
      <c r="I110" s="65">
        <f t="shared" si="65"/>
        <v>2.3858672173929203</v>
      </c>
      <c r="J110" s="116">
        <f t="shared" si="54"/>
        <v>2.4815685501812763</v>
      </c>
      <c r="K110" s="66">
        <f t="shared" si="60"/>
        <v>77.153243727744524</v>
      </c>
      <c r="L110" s="66">
        <f t="shared" si="61"/>
        <v>73.63126250487727</v>
      </c>
      <c r="M110" s="66">
        <f t="shared" si="37"/>
        <v>75.392253116310897</v>
      </c>
      <c r="N110" s="69">
        <f t="shared" si="66"/>
        <v>2.7279452412981504</v>
      </c>
      <c r="O110" s="69">
        <f t="shared" si="67"/>
        <v>2.3233739842840402</v>
      </c>
      <c r="P110" s="123">
        <f t="shared" si="38"/>
        <v>2.5256596127910953</v>
      </c>
      <c r="Q110" s="69">
        <f t="shared" si="68"/>
        <v>2.6791745216963556</v>
      </c>
      <c r="R110" s="69">
        <f t="shared" si="69"/>
        <v>2.4742807519714947</v>
      </c>
      <c r="S110" s="123">
        <f t="shared" si="39"/>
        <v>2.5767276368339251</v>
      </c>
      <c r="T110" s="67">
        <f t="shared" si="29"/>
        <v>75.43848596929223</v>
      </c>
      <c r="U110" s="67">
        <f t="shared" si="30"/>
        <v>72.777590177716604</v>
      </c>
      <c r="V110" s="119">
        <f t="shared" si="40"/>
        <v>74.108038073504417</v>
      </c>
      <c r="W110" s="68">
        <f t="shared" si="70"/>
        <v>2.7727715191205529</v>
      </c>
      <c r="X110" s="68">
        <f t="shared" si="71"/>
        <v>2.3820363178884345</v>
      </c>
      <c r="Y110" s="118">
        <f t="shared" si="41"/>
        <v>2.5774039185044937</v>
      </c>
      <c r="Z110" s="68">
        <f t="shared" si="72"/>
        <v>2.7810791604230789</v>
      </c>
      <c r="AA110" s="68">
        <f t="shared" si="73"/>
        <v>2.562694286550069</v>
      </c>
      <c r="AB110" s="118">
        <f t="shared" si="59"/>
        <v>2.671886723486574</v>
      </c>
      <c r="AD110" s="143">
        <f t="shared" si="42"/>
        <v>0.94442528564736117</v>
      </c>
      <c r="AE110" s="143">
        <f t="shared" si="43"/>
        <v>0.95435083409719634</v>
      </c>
      <c r="AF110" s="143">
        <f t="shared" si="44"/>
        <v>0.9647276087611466</v>
      </c>
    </row>
    <row r="111" spans="1:32" x14ac:dyDescent="0.25">
      <c r="A111" s="40">
        <v>123</v>
      </c>
      <c r="B111" s="64">
        <f t="shared" si="25"/>
        <v>79.909664266557044</v>
      </c>
      <c r="C111" s="64">
        <f t="shared" si="26"/>
        <v>75.434918606281556</v>
      </c>
      <c r="D111" s="116">
        <f t="shared" si="35"/>
        <v>77.6722914364193</v>
      </c>
      <c r="E111" s="65">
        <f t="shared" si="62"/>
        <v>2.697288189132705</v>
      </c>
      <c r="F111" s="65">
        <f t="shared" si="63"/>
        <v>2.2773063312872468</v>
      </c>
      <c r="G111" s="116">
        <f t="shared" si="36"/>
        <v>2.4872972602099761</v>
      </c>
      <c r="H111" s="65">
        <f t="shared" si="64"/>
        <v>2.5894063222648041</v>
      </c>
      <c r="I111" s="65">
        <f t="shared" si="65"/>
        <v>2.397205502904979</v>
      </c>
      <c r="J111" s="116">
        <f t="shared" si="54"/>
        <v>2.4933059125848915</v>
      </c>
      <c r="K111" s="66">
        <f t="shared" si="60"/>
        <v>78.172892627250647</v>
      </c>
      <c r="L111" s="66">
        <f t="shared" si="61"/>
        <v>74.571418375190063</v>
      </c>
      <c r="M111" s="66">
        <f t="shared" si="37"/>
        <v>76.372155501220362</v>
      </c>
      <c r="N111" s="69">
        <f t="shared" si="66"/>
        <v>2.7439424352527304</v>
      </c>
      <c r="O111" s="69">
        <f t="shared" si="67"/>
        <v>2.3370989786624294</v>
      </c>
      <c r="P111" s="123">
        <f t="shared" si="38"/>
        <v>2.5405207069575799</v>
      </c>
      <c r="Q111" s="69">
        <f t="shared" si="68"/>
        <v>2.6933091789641255</v>
      </c>
      <c r="R111" s="69">
        <f t="shared" si="69"/>
        <v>2.4867998779771776</v>
      </c>
      <c r="S111" s="123">
        <f t="shared" si="39"/>
        <v>2.5900545284706515</v>
      </c>
      <c r="T111" s="67">
        <f t="shared" si="29"/>
        <v>76.43612098794425</v>
      </c>
      <c r="U111" s="67">
        <f t="shared" si="30"/>
        <v>73.707918144098571</v>
      </c>
      <c r="V111" s="119">
        <f t="shared" si="40"/>
        <v>75.07201956602141</v>
      </c>
      <c r="W111" s="68">
        <f t="shared" si="70"/>
        <v>2.7905966813727554</v>
      </c>
      <c r="X111" s="68">
        <f t="shared" si="71"/>
        <v>2.3968916260376125</v>
      </c>
      <c r="Y111" s="118">
        <f t="shared" si="41"/>
        <v>2.5937441537051837</v>
      </c>
      <c r="Z111" s="68">
        <f t="shared" si="72"/>
        <v>2.7972120356634464</v>
      </c>
      <c r="AA111" s="68">
        <f t="shared" si="73"/>
        <v>2.5763942530493766</v>
      </c>
      <c r="AB111" s="118">
        <f t="shared" si="59"/>
        <v>2.6868031443564115</v>
      </c>
      <c r="AD111" s="143">
        <f t="shared" si="42"/>
        <v>0.94400244699628644</v>
      </c>
      <c r="AE111" s="143">
        <f t="shared" si="43"/>
        <v>0.95392937204929362</v>
      </c>
      <c r="AF111" s="143">
        <f t="shared" si="44"/>
        <v>0.96430741371247786</v>
      </c>
    </row>
    <row r="112" spans="1:32" x14ac:dyDescent="0.25">
      <c r="A112" s="40">
        <v>124</v>
      </c>
      <c r="B112" s="64">
        <f t="shared" ref="B112:B175" si="74">(1.599 + ((301.48 - 1.599)*(($A112/195.9)^2.2191)))/(1 + (($A112 / 195.9)^2.2191))</f>
        <v>80.951783782925432</v>
      </c>
      <c r="C112" s="64">
        <f t="shared" ref="C112:C175" si="75">(1.554 + ((312.3 - 1.554)*(($A112/214.74)^2.0789)))/( 1 + ($A112 / 214.74)^2.0789)</f>
        <v>76.385562325365271</v>
      </c>
      <c r="D112" s="116">
        <f t="shared" si="35"/>
        <v>78.668673054145358</v>
      </c>
      <c r="E112" s="65">
        <f t="shared" si="62"/>
        <v>2.7110131523365419</v>
      </c>
      <c r="F112" s="65">
        <f t="shared" si="63"/>
        <v>2.2897109080116418</v>
      </c>
      <c r="G112" s="116">
        <f t="shared" si="36"/>
        <v>2.5003620301740916</v>
      </c>
      <c r="H112" s="65">
        <f t="shared" si="64"/>
        <v>2.6014416866349168</v>
      </c>
      <c r="I112" s="65">
        <f t="shared" si="65"/>
        <v>2.4085899502061587</v>
      </c>
      <c r="J112" s="116">
        <f t="shared" si="54"/>
        <v>2.5050158184205378</v>
      </c>
      <c r="K112" s="66">
        <f t="shared" ref="K112:K143" si="76">(B112+T112)/2</f>
        <v>79.193015976673507</v>
      </c>
      <c r="L112" s="66">
        <f t="shared" ref="L112:L143" si="77">(C112+U112)/2</f>
        <v>75.51226493085278</v>
      </c>
      <c r="M112" s="66">
        <f t="shared" si="37"/>
        <v>77.352640453763144</v>
      </c>
      <c r="N112" s="69">
        <f t="shared" si="66"/>
        <v>2.7594918096740879</v>
      </c>
      <c r="O112" s="69">
        <f t="shared" si="67"/>
        <v>2.3506247517921346</v>
      </c>
      <c r="P112" s="123">
        <f t="shared" si="38"/>
        <v>2.5550582807331113</v>
      </c>
      <c r="Q112" s="69">
        <f t="shared" si="68"/>
        <v>2.7073404186116328</v>
      </c>
      <c r="R112" s="69">
        <f t="shared" si="69"/>
        <v>2.4993597781455099</v>
      </c>
      <c r="S112" s="123">
        <f t="shared" si="39"/>
        <v>2.6033500983785713</v>
      </c>
      <c r="T112" s="67">
        <f t="shared" ref="T112:T175" si="78">(1.599+((289.85-1.599)*(($A112/196.55)^2.2196)))/(1+(($A112 / 196.55)^2.2196))</f>
        <v>77.434248170421569</v>
      </c>
      <c r="U112" s="67">
        <f t="shared" ref="U112:U175" si="79">(1.554+((308.3-1.554)*(($A112/216.25)^2.0778)))/(1+($A112/216.25)^2.0778)</f>
        <v>74.638967536340303</v>
      </c>
      <c r="V112" s="119">
        <f t="shared" si="40"/>
        <v>76.036607853380929</v>
      </c>
      <c r="W112" s="68">
        <f t="shared" si="70"/>
        <v>2.8079704670116339</v>
      </c>
      <c r="X112" s="68">
        <f t="shared" si="71"/>
        <v>2.4115385955726274</v>
      </c>
      <c r="Y112" s="118">
        <f t="shared" si="41"/>
        <v>2.6097545312921309</v>
      </c>
      <c r="Z112" s="68">
        <f t="shared" si="72"/>
        <v>2.8132391505883487</v>
      </c>
      <c r="AA112" s="68">
        <f t="shared" si="73"/>
        <v>2.5901296060848611</v>
      </c>
      <c r="AB112" s="118">
        <f t="shared" si="59"/>
        <v>2.7016843783366049</v>
      </c>
      <c r="AD112" s="143">
        <f t="shared" si="42"/>
        <v>0.94359331883526354</v>
      </c>
      <c r="AE112" s="143">
        <f t="shared" si="43"/>
        <v>0.95352177208524425</v>
      </c>
      <c r="AF112" s="143">
        <f t="shared" si="44"/>
        <v>0.96390123620843771</v>
      </c>
    </row>
    <row r="113" spans="1:32" x14ac:dyDescent="0.25">
      <c r="A113" s="40">
        <v>125</v>
      </c>
      <c r="B113" s="64">
        <f t="shared" si="74"/>
        <v>81.994226186637817</v>
      </c>
      <c r="C113" s="64">
        <f t="shared" si="75"/>
        <v>77.336763052068534</v>
      </c>
      <c r="D113" s="116">
        <f t="shared" si="35"/>
        <v>79.665494619353183</v>
      </c>
      <c r="E113" s="65">
        <f t="shared" ref="E113:E144" si="80" xml:space="preserve"> 3.0763 * (1-EXP(-(EXP(-5.0736)*($B112^1.3308))))</f>
        <v>2.7243029430882753</v>
      </c>
      <c r="F113" s="65">
        <f t="shared" ref="F113:F144" si="81" xml:space="preserve"> 3.1408 * (1-EXP(-(EXP(-3.5347)*($C112^0.8793))))</f>
        <v>2.3019272621999969</v>
      </c>
      <c r="G113" s="116">
        <f t="shared" si="36"/>
        <v>2.5131151026441358</v>
      </c>
      <c r="H113" s="65">
        <f t="shared" ref="H113:H144" si="82">E113/(B113-B112)</f>
        <v>2.6133846180723115</v>
      </c>
      <c r="I113" s="65">
        <f t="shared" ref="I113:I144" si="83">F113/(C113-C112)</f>
        <v>2.4200226067721533</v>
      </c>
      <c r="J113" s="116">
        <f t="shared" si="54"/>
        <v>2.5167036124222326</v>
      </c>
      <c r="K113" s="66">
        <f t="shared" si="76"/>
        <v>80.213482749149961</v>
      </c>
      <c r="L113" s="66">
        <f t="shared" si="77"/>
        <v>76.453700442063109</v>
      </c>
      <c r="M113" s="66">
        <f t="shared" si="37"/>
        <v>78.333591595606535</v>
      </c>
      <c r="N113" s="69">
        <f t="shared" ref="N113:N144" si="84">(E113+W113)/2</f>
        <v>2.7746009302179879</v>
      </c>
      <c r="O113" s="69">
        <f t="shared" ref="O113:O144" si="85">(F113+X113)/2</f>
        <v>2.3639530037446592</v>
      </c>
      <c r="P113" s="123">
        <f t="shared" si="38"/>
        <v>2.5692769669813238</v>
      </c>
      <c r="Q113" s="69">
        <f t="shared" ref="Q113:Q144" si="86">(H113+Z113)/2</f>
        <v>2.7212761749670933</v>
      </c>
      <c r="R113" s="69">
        <f t="shared" ref="R113:R144" si="87">(I113+AA113)/2</f>
        <v>2.5119626248142914</v>
      </c>
      <c r="S113" s="123">
        <f t="shared" si="39"/>
        <v>2.6166193998906921</v>
      </c>
      <c r="T113" s="67">
        <f t="shared" si="78"/>
        <v>78.432739311662118</v>
      </c>
      <c r="U113" s="67">
        <f t="shared" si="79"/>
        <v>75.570637832057685</v>
      </c>
      <c r="V113" s="119">
        <f t="shared" si="40"/>
        <v>77.001688571859901</v>
      </c>
      <c r="W113" s="68">
        <f t="shared" ref="W113:W144" si="88" xml:space="preserve"> 3.3719 * (1-EXP(-(EXP(-5.0674)*($T112^1.3026))))</f>
        <v>2.8248989173477006</v>
      </c>
      <c r="X113" s="68">
        <f t="shared" ref="X113:X144" si="89" xml:space="preserve"> 3.4467 * (1-EXP(-(EXP(-3.7929)*($U112^0.925))))</f>
        <v>2.4259787452893216</v>
      </c>
      <c r="Y113" s="118">
        <f t="shared" si="41"/>
        <v>2.6254388313185109</v>
      </c>
      <c r="Z113" s="68">
        <f t="shared" ref="Z113:Z144" si="90">W113/(T113-T112)</f>
        <v>2.8291677318618751</v>
      </c>
      <c r="AA113" s="68">
        <f t="shared" ref="AA113:AA144" si="91">X113/(U113-U112)</f>
        <v>2.6039026428564296</v>
      </c>
      <c r="AB113" s="118">
        <f t="shared" si="59"/>
        <v>2.7165351873591526</v>
      </c>
      <c r="AD113" s="143">
        <f t="shared" si="42"/>
        <v>0.94319766950458417</v>
      </c>
      <c r="AE113" s="143">
        <f t="shared" si="43"/>
        <v>0.95312780123455376</v>
      </c>
      <c r="AF113" s="143">
        <f t="shared" si="44"/>
        <v>0.96350884203812492</v>
      </c>
    </row>
    <row r="114" spans="1:32" x14ac:dyDescent="0.25">
      <c r="A114" s="40">
        <v>126</v>
      </c>
      <c r="B114" s="64">
        <f t="shared" si="74"/>
        <v>83.036859609459768</v>
      </c>
      <c r="C114" s="64">
        <f t="shared" si="75"/>
        <v>78.288419265745063</v>
      </c>
      <c r="D114" s="116">
        <f t="shared" si="35"/>
        <v>80.662639437602422</v>
      </c>
      <c r="E114" s="65">
        <f t="shared" si="80"/>
        <v>2.737166788842567</v>
      </c>
      <c r="F114" s="65">
        <f t="shared" si="81"/>
        <v>2.3139573098888238</v>
      </c>
      <c r="G114" s="116">
        <f t="shared" si="36"/>
        <v>2.5255620493656954</v>
      </c>
      <c r="H114" s="65">
        <f t="shared" si="82"/>
        <v>2.6252436656349074</v>
      </c>
      <c r="I114" s="65">
        <f t="shared" si="83"/>
        <v>2.4315054918302104</v>
      </c>
      <c r="J114" s="116">
        <f t="shared" si="54"/>
        <v>2.5283745787325591</v>
      </c>
      <c r="K114" s="66">
        <f t="shared" si="76"/>
        <v>81.234163843069069</v>
      </c>
      <c r="L114" s="66">
        <f t="shared" si="77"/>
        <v>77.395624563944338</v>
      </c>
      <c r="M114" s="66">
        <f t="shared" si="37"/>
        <v>79.314894203506697</v>
      </c>
      <c r="N114" s="69">
        <f t="shared" si="84"/>
        <v>2.7892775568613892</v>
      </c>
      <c r="O114" s="69">
        <f t="shared" si="85"/>
        <v>2.3770854818390235</v>
      </c>
      <c r="P114" s="123">
        <f t="shared" si="38"/>
        <v>2.5831815193502061</v>
      </c>
      <c r="Q114" s="69">
        <f t="shared" si="86"/>
        <v>2.7351243301966957</v>
      </c>
      <c r="R114" s="69">
        <f t="shared" si="87"/>
        <v>2.5246105643864158</v>
      </c>
      <c r="S114" s="123">
        <f t="shared" si="39"/>
        <v>2.6298674472915557</v>
      </c>
      <c r="T114" s="67">
        <f t="shared" si="78"/>
        <v>79.431468076678371</v>
      </c>
      <c r="U114" s="67">
        <f t="shared" si="79"/>
        <v>76.502829862143614</v>
      </c>
      <c r="V114" s="119">
        <f t="shared" si="40"/>
        <v>77.967148969410999</v>
      </c>
      <c r="W114" s="68">
        <f t="shared" si="88"/>
        <v>2.841388324880211</v>
      </c>
      <c r="X114" s="68">
        <f t="shared" si="89"/>
        <v>2.4402136537892232</v>
      </c>
      <c r="Y114" s="118">
        <f t="shared" si="41"/>
        <v>2.6408009893347169</v>
      </c>
      <c r="Z114" s="68">
        <f t="shared" si="90"/>
        <v>2.8450049947584835</v>
      </c>
      <c r="AA114" s="68">
        <f t="shared" si="91"/>
        <v>2.6177156369426218</v>
      </c>
      <c r="AB114" s="118">
        <f t="shared" si="59"/>
        <v>2.7313603158505524</v>
      </c>
      <c r="AD114" s="143">
        <f t="shared" si="42"/>
        <v>0.9428152706394769</v>
      </c>
      <c r="AE114" s="143">
        <f t="shared" si="43"/>
        <v>0.952747229767267</v>
      </c>
      <c r="AF114" s="143">
        <f t="shared" si="44"/>
        <v>0.96313000016935824</v>
      </c>
    </row>
    <row r="115" spans="1:32" x14ac:dyDescent="0.25">
      <c r="A115" s="40">
        <v>127</v>
      </c>
      <c r="B115" s="64">
        <f t="shared" si="74"/>
        <v>84.079554181822729</v>
      </c>
      <c r="C115" s="64">
        <f t="shared" si="75"/>
        <v>79.240430870481973</v>
      </c>
      <c r="D115" s="116">
        <f t="shared" si="35"/>
        <v>81.659992526152351</v>
      </c>
      <c r="E115" s="65">
        <f t="shared" si="80"/>
        <v>2.7496140284017465</v>
      </c>
      <c r="F115" s="65">
        <f t="shared" si="81"/>
        <v>2.3258029987280864</v>
      </c>
      <c r="G115" s="116">
        <f t="shared" si="36"/>
        <v>2.5377085135649162</v>
      </c>
      <c r="H115" s="65">
        <f t="shared" si="82"/>
        <v>2.6370272765212084</v>
      </c>
      <c r="I115" s="65">
        <f t="shared" si="83"/>
        <v>2.4430405965175455</v>
      </c>
      <c r="J115" s="116">
        <f t="shared" si="54"/>
        <v>2.5400339365193769</v>
      </c>
      <c r="K115" s="66">
        <f t="shared" si="76"/>
        <v>82.254932100196442</v>
      </c>
      <c r="L115" s="66">
        <f t="shared" si="77"/>
        <v>78.337938344840836</v>
      </c>
      <c r="M115" s="66">
        <f t="shared" si="37"/>
        <v>80.296435222518639</v>
      </c>
      <c r="N115" s="69">
        <f t="shared" si="84"/>
        <v>2.8035296191918704</v>
      </c>
      <c r="O115" s="69">
        <f t="shared" si="85"/>
        <v>2.3900239772270071</v>
      </c>
      <c r="P115" s="123">
        <f t="shared" si="38"/>
        <v>2.5967767982094387</v>
      </c>
      <c r="Q115" s="69">
        <f t="shared" si="86"/>
        <v>2.7488927053280632</v>
      </c>
      <c r="R115" s="69">
        <f t="shared" si="87"/>
        <v>2.5373057173036511</v>
      </c>
      <c r="S115" s="123">
        <f t="shared" si="39"/>
        <v>2.6430992113158571</v>
      </c>
      <c r="T115" s="67">
        <f t="shared" si="78"/>
        <v>80.43031001857014</v>
      </c>
      <c r="U115" s="67">
        <f t="shared" si="79"/>
        <v>77.435445819199686</v>
      </c>
      <c r="V115" s="119">
        <f t="shared" si="40"/>
        <v>78.932877918884913</v>
      </c>
      <c r="W115" s="68">
        <f t="shared" si="88"/>
        <v>2.8574452099819938</v>
      </c>
      <c r="X115" s="68">
        <f t="shared" si="89"/>
        <v>2.4542449557259283</v>
      </c>
      <c r="Y115" s="118">
        <f t="shared" si="41"/>
        <v>2.6558450828539613</v>
      </c>
      <c r="Z115" s="68">
        <f t="shared" si="90"/>
        <v>2.8607581341349175</v>
      </c>
      <c r="AA115" s="68">
        <f t="shared" si="91"/>
        <v>2.6315708380897571</v>
      </c>
      <c r="AB115" s="118">
        <f t="shared" si="59"/>
        <v>2.7461644861123373</v>
      </c>
      <c r="AD115" s="143">
        <f t="shared" si="42"/>
        <v>0.94244589712171745</v>
      </c>
      <c r="AE115" s="143">
        <f t="shared" si="43"/>
        <v>0.95237983115001257</v>
      </c>
      <c r="AF115" s="143">
        <f t="shared" si="44"/>
        <v>0.96276448270957815</v>
      </c>
    </row>
    <row r="116" spans="1:32" x14ac:dyDescent="0.25">
      <c r="A116" s="40">
        <v>128</v>
      </c>
      <c r="B116" s="64">
        <f t="shared" si="74"/>
        <v>85.122182049298431</v>
      </c>
      <c r="C116" s="64">
        <f t="shared" si="75"/>
        <v>80.192699202336783</v>
      </c>
      <c r="D116" s="116">
        <f t="shared" si="35"/>
        <v>82.6574406258176</v>
      </c>
      <c r="E116" s="65">
        <f t="shared" si="80"/>
        <v>2.7616540870616197</v>
      </c>
      <c r="F116" s="65">
        <f t="shared" si="81"/>
        <v>2.3374663050177484</v>
      </c>
      <c r="G116" s="116">
        <f t="shared" si="36"/>
        <v>2.5495601960396841</v>
      </c>
      <c r="H116" s="65">
        <f t="shared" si="82"/>
        <v>2.6487437878941793</v>
      </c>
      <c r="I116" s="65">
        <f t="shared" si="83"/>
        <v>2.454629884063114</v>
      </c>
      <c r="J116" s="116">
        <f t="shared" si="54"/>
        <v>2.5516868359786464</v>
      </c>
      <c r="K116" s="66">
        <f t="shared" si="76"/>
        <v>83.275662322079882</v>
      </c>
      <c r="L116" s="66">
        <f t="shared" si="77"/>
        <v>79.280544233709549</v>
      </c>
      <c r="M116" s="66">
        <f t="shared" si="37"/>
        <v>81.278103277894715</v>
      </c>
      <c r="N116" s="69">
        <f t="shared" si="84"/>
        <v>2.817365192678416</v>
      </c>
      <c r="O116" s="69">
        <f t="shared" si="85"/>
        <v>2.4027703215892302</v>
      </c>
      <c r="P116" s="123">
        <f t="shared" si="38"/>
        <v>2.6100677571338231</v>
      </c>
      <c r="Q116" s="69">
        <f t="shared" si="86"/>
        <v>2.7625890519033076</v>
      </c>
      <c r="R116" s="69">
        <f t="shared" si="87"/>
        <v>2.5500501780488616</v>
      </c>
      <c r="S116" s="123">
        <f t="shared" si="39"/>
        <v>2.6563196149760846</v>
      </c>
      <c r="T116" s="67">
        <f t="shared" si="78"/>
        <v>81.429142594861332</v>
      </c>
      <c r="U116" s="67">
        <f t="shared" si="79"/>
        <v>78.368389265082314</v>
      </c>
      <c r="V116" s="119">
        <f t="shared" si="40"/>
        <v>79.89876592997183</v>
      </c>
      <c r="W116" s="68">
        <f t="shared" si="88"/>
        <v>2.8730762982952127</v>
      </c>
      <c r="X116" s="68">
        <f t="shared" si="89"/>
        <v>2.4680743381607124</v>
      </c>
      <c r="Y116" s="118">
        <f t="shared" si="41"/>
        <v>2.6705753182279626</v>
      </c>
      <c r="Z116" s="68">
        <f t="shared" si="90"/>
        <v>2.8764343159124359</v>
      </c>
      <c r="AA116" s="68">
        <f t="shared" si="91"/>
        <v>2.6454704720346096</v>
      </c>
      <c r="AB116" s="118">
        <f t="shared" si="59"/>
        <v>2.7609523939735228</v>
      </c>
      <c r="AD116" s="143">
        <f t="shared" si="42"/>
        <v>0.94208932703220949</v>
      </c>
      <c r="AE116" s="143">
        <f t="shared" si="43"/>
        <v>0.95202538200274323</v>
      </c>
      <c r="AF116" s="143">
        <f t="shared" si="44"/>
        <v>0.96241206486715269</v>
      </c>
    </row>
    <row r="117" spans="1:32" x14ac:dyDescent="0.25">
      <c r="A117" s="40">
        <v>129</v>
      </c>
      <c r="B117" s="64">
        <f t="shared" si="74"/>
        <v>86.164617387347249</v>
      </c>
      <c r="C117" s="64">
        <f t="shared" si="75"/>
        <v>81.145127035671905</v>
      </c>
      <c r="D117" s="116">
        <f t="shared" si="35"/>
        <v>83.65487221150957</v>
      </c>
      <c r="E117" s="65">
        <f t="shared" si="80"/>
        <v>2.7732964530175463</v>
      </c>
      <c r="F117" s="65">
        <f t="shared" si="81"/>
        <v>2.3489492308551831</v>
      </c>
      <c r="G117" s="116">
        <f t="shared" si="36"/>
        <v>2.5611228419363647</v>
      </c>
      <c r="H117" s="65">
        <f t="shared" si="82"/>
        <v>2.6604014194381325</v>
      </c>
      <c r="I117" s="65">
        <f t="shared" si="83"/>
        <v>2.4662752899921605</v>
      </c>
      <c r="J117" s="116">
        <f t="shared" si="54"/>
        <v>2.5633383547151465</v>
      </c>
      <c r="K117" s="66">
        <f t="shared" si="76"/>
        <v>84.296231284770784</v>
      </c>
      <c r="L117" s="66">
        <f t="shared" si="77"/>
        <v>80.223346086626293</v>
      </c>
      <c r="M117" s="66">
        <f t="shared" si="37"/>
        <v>82.259788685698538</v>
      </c>
      <c r="N117" s="69">
        <f t="shared" si="84"/>
        <v>2.8307924759427356</v>
      </c>
      <c r="O117" s="69">
        <f t="shared" si="85"/>
        <v>2.4153263839412364</v>
      </c>
      <c r="P117" s="123">
        <f t="shared" si="38"/>
        <v>2.623059429941986</v>
      </c>
      <c r="Q117" s="69">
        <f t="shared" si="86"/>
        <v>2.7762210442518329</v>
      </c>
      <c r="R117" s="69">
        <f t="shared" si="87"/>
        <v>2.562846015178784</v>
      </c>
      <c r="S117" s="123">
        <f t="shared" si="39"/>
        <v>2.6695335297153084</v>
      </c>
      <c r="T117" s="67">
        <f t="shared" si="78"/>
        <v>82.427845182194304</v>
      </c>
      <c r="U117" s="67">
        <f t="shared" si="79"/>
        <v>79.301565137580695</v>
      </c>
      <c r="V117" s="119">
        <f t="shared" si="40"/>
        <v>80.864705159887507</v>
      </c>
      <c r="W117" s="68">
        <f t="shared" si="88"/>
        <v>2.8882884988679254</v>
      </c>
      <c r="X117" s="68">
        <f t="shared" si="89"/>
        <v>2.4817035370272902</v>
      </c>
      <c r="Y117" s="118">
        <f t="shared" si="41"/>
        <v>2.6849960179476078</v>
      </c>
      <c r="Z117" s="68">
        <f t="shared" si="90"/>
        <v>2.8920406690655329</v>
      </c>
      <c r="AA117" s="68">
        <f t="shared" si="91"/>
        <v>2.659416740365407</v>
      </c>
      <c r="AB117" s="118">
        <f t="shared" si="59"/>
        <v>2.77572870471547</v>
      </c>
      <c r="AD117" s="143">
        <f t="shared" si="42"/>
        <v>0.94174534160454093</v>
      </c>
      <c r="AE117" s="143">
        <f t="shared" si="43"/>
        <v>0.9516836620561907</v>
      </c>
      <c r="AF117" s="143">
        <f t="shared" si="44"/>
        <v>0.96207252491311113</v>
      </c>
    </row>
    <row r="118" spans="1:32" x14ac:dyDescent="0.25">
      <c r="A118" s="40">
        <v>130</v>
      </c>
      <c r="B118" s="64">
        <f t="shared" si="74"/>
        <v>87.206736414378739</v>
      </c>
      <c r="C118" s="64">
        <f t="shared" si="75"/>
        <v>82.09761858860692</v>
      </c>
      <c r="D118" s="116">
        <f t="shared" si="35"/>
        <v>84.652177501492829</v>
      </c>
      <c r="E118" s="65">
        <f t="shared" si="80"/>
        <v>2.7845506550328252</v>
      </c>
      <c r="F118" s="65">
        <f t="shared" si="81"/>
        <v>2.3602538013917012</v>
      </c>
      <c r="G118" s="116">
        <f t="shared" si="36"/>
        <v>2.5724022282122632</v>
      </c>
      <c r="H118" s="65">
        <f t="shared" si="82"/>
        <v>2.6720082666225853</v>
      </c>
      <c r="I118" s="65">
        <f t="shared" si="83"/>
        <v>2.4779787223506555</v>
      </c>
      <c r="J118" s="116">
        <f t="shared" si="54"/>
        <v>2.5749934944866206</v>
      </c>
      <c r="K118" s="66">
        <f t="shared" si="76"/>
        <v>85.316517751897862</v>
      </c>
      <c r="L118" s="66">
        <f t="shared" si="77"/>
        <v>81.166249172426376</v>
      </c>
      <c r="M118" s="66">
        <f t="shared" si="37"/>
        <v>83.241383462162119</v>
      </c>
      <c r="N118" s="69">
        <f t="shared" si="84"/>
        <v>2.8438197690445839</v>
      </c>
      <c r="O118" s="69">
        <f t="shared" si="85"/>
        <v>2.4276940675485288</v>
      </c>
      <c r="P118" s="123">
        <f t="shared" si="38"/>
        <v>2.6357569182965563</v>
      </c>
      <c r="Q118" s="69">
        <f t="shared" si="86"/>
        <v>2.7897962723653764</v>
      </c>
      <c r="R118" s="69">
        <f t="shared" si="87"/>
        <v>2.5756952713827745</v>
      </c>
      <c r="S118" s="123">
        <f t="shared" si="39"/>
        <v>2.6827457718740755</v>
      </c>
      <c r="T118" s="67">
        <f t="shared" si="78"/>
        <v>83.426299089416986</v>
      </c>
      <c r="U118" s="67">
        <f t="shared" si="79"/>
        <v>80.234879756245817</v>
      </c>
      <c r="V118" s="119">
        <f t="shared" si="40"/>
        <v>81.830589422831395</v>
      </c>
      <c r="W118" s="68">
        <f t="shared" si="88"/>
        <v>2.9030888830563426</v>
      </c>
      <c r="X118" s="68">
        <f t="shared" si="89"/>
        <v>2.4951343337053564</v>
      </c>
      <c r="Y118" s="118">
        <f t="shared" si="41"/>
        <v>2.6991116083808495</v>
      </c>
      <c r="Z118" s="68">
        <f t="shared" si="90"/>
        <v>2.907584278108168</v>
      </c>
      <c r="AA118" s="68">
        <f t="shared" si="91"/>
        <v>2.673411820414894</v>
      </c>
      <c r="AB118" s="118">
        <f t="shared" si="59"/>
        <v>2.7904980492615312</v>
      </c>
      <c r="AD118" s="143">
        <f t="shared" si="42"/>
        <v>0.94141372517949862</v>
      </c>
      <c r="AE118" s="143">
        <f t="shared" si="43"/>
        <v>0.9513544541100406</v>
      </c>
      <c r="AF118" s="143">
        <f t="shared" si="44"/>
        <v>0.96174564414333452</v>
      </c>
    </row>
    <row r="119" spans="1:32" x14ac:dyDescent="0.25">
      <c r="A119" s="40">
        <v>131</v>
      </c>
      <c r="B119" s="64">
        <f t="shared" si="74"/>
        <v>88.248417403161639</v>
      </c>
      <c r="C119" s="64">
        <f t="shared" si="75"/>
        <v>83.0500795276091</v>
      </c>
      <c r="D119" s="116">
        <f t="shared" si="35"/>
        <v>85.649248465385369</v>
      </c>
      <c r="E119" s="65">
        <f t="shared" si="80"/>
        <v>2.7954262413656603</v>
      </c>
      <c r="F119" s="65">
        <f t="shared" si="81"/>
        <v>2.3713820621963899</v>
      </c>
      <c r="G119" s="116">
        <f t="shared" si="36"/>
        <v>2.5834041517810249</v>
      </c>
      <c r="H119" s="65">
        <f t="shared" si="82"/>
        <v>2.6835722946540814</v>
      </c>
      <c r="I119" s="65">
        <f t="shared" si="83"/>
        <v>2.489742061948184</v>
      </c>
      <c r="J119" s="116">
        <f t="shared" si="54"/>
        <v>2.5866571783011327</v>
      </c>
      <c r="K119" s="66">
        <f t="shared" si="76"/>
        <v>86.336402486129742</v>
      </c>
      <c r="L119" s="66">
        <f t="shared" si="77"/>
        <v>82.109160177499319</v>
      </c>
      <c r="M119" s="66">
        <f t="shared" si="37"/>
        <v>84.222781331814531</v>
      </c>
      <c r="N119" s="69">
        <f t="shared" si="84"/>
        <v>2.8564554527893007</v>
      </c>
      <c r="O119" s="69">
        <f t="shared" si="85"/>
        <v>2.4398753069494088</v>
      </c>
      <c r="P119" s="123">
        <f t="shared" si="38"/>
        <v>2.6481653798693547</v>
      </c>
      <c r="Q119" s="69">
        <f t="shared" si="86"/>
        <v>2.8033222353629283</v>
      </c>
      <c r="R119" s="69">
        <f t="shared" si="87"/>
        <v>2.5885999635664305</v>
      </c>
      <c r="S119" s="123">
        <f t="shared" si="39"/>
        <v>2.6959610994646797</v>
      </c>
      <c r="T119" s="67">
        <f t="shared" si="78"/>
        <v>84.42438756909786</v>
      </c>
      <c r="U119" s="67">
        <f t="shared" si="79"/>
        <v>81.168240827389553</v>
      </c>
      <c r="V119" s="119">
        <f t="shared" si="40"/>
        <v>82.796314198243707</v>
      </c>
      <c r="W119" s="68">
        <f t="shared" si="88"/>
        <v>2.9174846642129415</v>
      </c>
      <c r="X119" s="68">
        <f t="shared" si="89"/>
        <v>2.5083685517024281</v>
      </c>
      <c r="Y119" s="118">
        <f t="shared" si="41"/>
        <v>2.7129266079576846</v>
      </c>
      <c r="Z119" s="68">
        <f t="shared" si="90"/>
        <v>2.9230721760717753</v>
      </c>
      <c r="AA119" s="68">
        <f t="shared" si="91"/>
        <v>2.6874578651846774</v>
      </c>
      <c r="AB119" s="118">
        <f t="shared" si="59"/>
        <v>2.8052650206282266</v>
      </c>
      <c r="AD119" s="143">
        <f t="shared" si="42"/>
        <v>0.94109426516054095</v>
      </c>
      <c r="AE119" s="143">
        <f t="shared" si="43"/>
        <v>0.95103754399183427</v>
      </c>
      <c r="AF119" s="143">
        <f t="shared" si="44"/>
        <v>0.96143120684123073</v>
      </c>
    </row>
    <row r="120" spans="1:32" x14ac:dyDescent="0.25">
      <c r="A120" s="40">
        <v>132</v>
      </c>
      <c r="B120" s="64">
        <f t="shared" si="74"/>
        <v>89.289540690623028</v>
      </c>
      <c r="C120" s="64">
        <f t="shared" si="75"/>
        <v>84.002416971241885</v>
      </c>
      <c r="D120" s="116">
        <f t="shared" si="35"/>
        <v>86.645978830932449</v>
      </c>
      <c r="E120" s="65">
        <f t="shared" si="80"/>
        <v>2.8059327599455095</v>
      </c>
      <c r="F120" s="65">
        <f t="shared" si="81"/>
        <v>2.3823360767253559</v>
      </c>
      <c r="G120" s="116">
        <f t="shared" si="36"/>
        <v>2.5941344183354325</v>
      </c>
      <c r="H120" s="65">
        <f t="shared" si="82"/>
        <v>2.695101333087385</v>
      </c>
      <c r="I120" s="65">
        <f t="shared" si="83"/>
        <v>2.5015671626201095</v>
      </c>
      <c r="J120" s="116">
        <f t="shared" si="54"/>
        <v>2.5983342478537472</v>
      </c>
      <c r="K120" s="66">
        <f t="shared" si="76"/>
        <v>87.355768259064249</v>
      </c>
      <c r="L120" s="66">
        <f t="shared" si="77"/>
        <v>83.051987209757215</v>
      </c>
      <c r="M120" s="66">
        <f t="shared" si="37"/>
        <v>85.203877734410725</v>
      </c>
      <c r="N120" s="69">
        <f t="shared" si="84"/>
        <v>2.8687079690608259</v>
      </c>
      <c r="O120" s="69">
        <f t="shared" si="85"/>
        <v>2.4518720650843306</v>
      </c>
      <c r="P120" s="123">
        <f t="shared" si="38"/>
        <v>2.6602900170725783</v>
      </c>
      <c r="Q120" s="69">
        <f t="shared" si="86"/>
        <v>2.8168063355251221</v>
      </c>
      <c r="R120" s="69">
        <f t="shared" si="87"/>
        <v>2.6015620829603394</v>
      </c>
      <c r="S120" s="123">
        <f t="shared" si="39"/>
        <v>2.7091842092427307</v>
      </c>
      <c r="T120" s="67">
        <f t="shared" si="78"/>
        <v>85.421995827505469</v>
      </c>
      <c r="U120" s="67">
        <f t="shared" si="79"/>
        <v>82.101557448272558</v>
      </c>
      <c r="V120" s="119">
        <f t="shared" si="40"/>
        <v>83.761776637889014</v>
      </c>
      <c r="W120" s="68">
        <f t="shared" si="88"/>
        <v>2.9314831781761428</v>
      </c>
      <c r="X120" s="68">
        <f t="shared" si="89"/>
        <v>2.521408053443305</v>
      </c>
      <c r="Y120" s="118">
        <f t="shared" si="41"/>
        <v>2.7264456158097241</v>
      </c>
      <c r="Z120" s="68">
        <f t="shared" si="90"/>
        <v>2.9385113379628596</v>
      </c>
      <c r="AA120" s="68">
        <f t="shared" si="91"/>
        <v>2.7015570033005698</v>
      </c>
      <c r="AB120" s="118">
        <f t="shared" si="59"/>
        <v>2.8200341706317147</v>
      </c>
      <c r="AD120" s="143">
        <f t="shared" si="42"/>
        <v>0.9407867519701959</v>
      </c>
      <c r="AE120" s="143">
        <f t="shared" si="43"/>
        <v>0.95073272051659319</v>
      </c>
      <c r="AF120" s="143">
        <f t="shared" si="44"/>
        <v>0.96112900024089876</v>
      </c>
    </row>
    <row r="121" spans="1:32" x14ac:dyDescent="0.25">
      <c r="A121" s="40">
        <v>133</v>
      </c>
      <c r="B121" s="64">
        <f t="shared" si="74"/>
        <v>90.329988686074898</v>
      </c>
      <c r="C121" s="64">
        <f t="shared" si="75"/>
        <v>84.954539493092923</v>
      </c>
      <c r="D121" s="116">
        <f t="shared" si="35"/>
        <v>87.642264089583904</v>
      </c>
      <c r="E121" s="65">
        <f t="shared" si="80"/>
        <v>2.8160797397847666</v>
      </c>
      <c r="F121" s="65">
        <f t="shared" si="81"/>
        <v>2.3931179238943701</v>
      </c>
      <c r="G121" s="116">
        <f t="shared" si="36"/>
        <v>2.6045988318395681</v>
      </c>
      <c r="H121" s="65">
        <f t="shared" si="82"/>
        <v>2.7066030710758708</v>
      </c>
      <c r="I121" s="65">
        <f t="shared" si="83"/>
        <v>2.5134558515030898</v>
      </c>
      <c r="J121" s="116">
        <f t="shared" si="54"/>
        <v>2.6100294612894803</v>
      </c>
      <c r="K121" s="66">
        <f t="shared" si="76"/>
        <v>88.374499859581647</v>
      </c>
      <c r="L121" s="66">
        <f t="shared" si="77"/>
        <v>83.994639801796652</v>
      </c>
      <c r="M121" s="66">
        <f t="shared" si="37"/>
        <v>86.184569830689156</v>
      </c>
      <c r="N121" s="69">
        <f t="shared" si="84"/>
        <v>2.8805858021788708</v>
      </c>
      <c r="O121" s="69">
        <f t="shared" si="85"/>
        <v>2.4636863305303232</v>
      </c>
      <c r="P121" s="123">
        <f t="shared" si="38"/>
        <v>2.672136066354597</v>
      </c>
      <c r="Q121" s="69">
        <f t="shared" si="86"/>
        <v>2.8302558728848304</v>
      </c>
      <c r="R121" s="69">
        <f t="shared" si="87"/>
        <v>2.6145835952493881</v>
      </c>
      <c r="S121" s="123">
        <f t="shared" si="39"/>
        <v>2.7224197340671092</v>
      </c>
      <c r="T121" s="67">
        <f t="shared" si="78"/>
        <v>86.419011033088381</v>
      </c>
      <c r="U121" s="67">
        <f t="shared" si="79"/>
        <v>83.03474011050038</v>
      </c>
      <c r="V121" s="119">
        <f t="shared" si="40"/>
        <v>84.72687557179438</v>
      </c>
      <c r="W121" s="68">
        <f t="shared" si="88"/>
        <v>2.9450918645729756</v>
      </c>
      <c r="X121" s="68">
        <f t="shared" si="89"/>
        <v>2.5342547371662763</v>
      </c>
      <c r="Y121" s="118">
        <f t="shared" si="41"/>
        <v>2.7396733008696259</v>
      </c>
      <c r="Z121" s="68">
        <f t="shared" si="90"/>
        <v>2.9539086746937899</v>
      </c>
      <c r="AA121" s="68">
        <f t="shared" si="91"/>
        <v>2.7157113389956864</v>
      </c>
      <c r="AB121" s="118">
        <f t="shared" si="59"/>
        <v>2.8348100068447382</v>
      </c>
      <c r="AD121" s="143">
        <f t="shared" si="42"/>
        <v>0.94049097900738865</v>
      </c>
      <c r="AE121" s="143">
        <f t="shared" si="43"/>
        <v>0.95043977544716907</v>
      </c>
      <c r="AF121" s="143">
        <f t="shared" si="44"/>
        <v>0.96083881449080433</v>
      </c>
    </row>
    <row r="122" spans="1:32" x14ac:dyDescent="0.25">
      <c r="A122" s="40">
        <v>134</v>
      </c>
      <c r="B122" s="64">
        <f t="shared" si="74"/>
        <v>91.369645877908781</v>
      </c>
      <c r="C122" s="64">
        <f t="shared" si="75"/>
        <v>85.906357123901316</v>
      </c>
      <c r="D122" s="116">
        <f t="shared" si="35"/>
        <v>88.638001500905048</v>
      </c>
      <c r="E122" s="65">
        <f t="shared" si="80"/>
        <v>2.8258766736072283</v>
      </c>
      <c r="F122" s="65">
        <f t="shared" si="81"/>
        <v>2.4037296957528622</v>
      </c>
      <c r="G122" s="116">
        <f t="shared" si="36"/>
        <v>2.6148031846800452</v>
      </c>
      <c r="H122" s="65">
        <f t="shared" si="82"/>
        <v>2.7180850532304599</v>
      </c>
      <c r="I122" s="65">
        <f t="shared" si="83"/>
        <v>2.5254099293278904</v>
      </c>
      <c r="J122" s="116">
        <f t="shared" si="54"/>
        <v>2.6217474912791752</v>
      </c>
      <c r="K122" s="66">
        <f t="shared" si="76"/>
        <v>89.392484100701139</v>
      </c>
      <c r="L122" s="66">
        <f t="shared" si="77"/>
        <v>84.937028913274318</v>
      </c>
      <c r="M122" s="66">
        <f t="shared" si="37"/>
        <v>87.164756506987729</v>
      </c>
      <c r="N122" s="69">
        <f t="shared" si="84"/>
        <v>2.892097461274727</v>
      </c>
      <c r="O122" s="69">
        <f t="shared" si="85"/>
        <v>2.4753201148389836</v>
      </c>
      <c r="P122" s="123">
        <f t="shared" si="38"/>
        <v>2.6837087880568555</v>
      </c>
      <c r="Q122" s="69">
        <f t="shared" si="86"/>
        <v>2.8436780403507629</v>
      </c>
      <c r="R122" s="69">
        <f t="shared" si="87"/>
        <v>2.6276664407237869</v>
      </c>
      <c r="S122" s="123">
        <f t="shared" si="39"/>
        <v>2.7356722405372746</v>
      </c>
      <c r="T122" s="67">
        <f t="shared" si="78"/>
        <v>87.415322323493498</v>
      </c>
      <c r="U122" s="67">
        <f t="shared" si="79"/>
        <v>83.967700702647321</v>
      </c>
      <c r="V122" s="119">
        <f t="shared" si="40"/>
        <v>85.691511513070409</v>
      </c>
      <c r="W122" s="68">
        <f t="shared" si="88"/>
        <v>2.9583182489422257</v>
      </c>
      <c r="X122" s="68">
        <f t="shared" si="89"/>
        <v>2.546910533925105</v>
      </c>
      <c r="Y122" s="118">
        <f t="shared" si="41"/>
        <v>2.7526143914336654</v>
      </c>
      <c r="Z122" s="68">
        <f t="shared" si="90"/>
        <v>2.9692710274710659</v>
      </c>
      <c r="AA122" s="68">
        <f t="shared" si="91"/>
        <v>2.7299229521196837</v>
      </c>
      <c r="AB122" s="118">
        <f t="shared" si="59"/>
        <v>2.8495969897953746</v>
      </c>
      <c r="AD122" s="143">
        <f t="shared" si="42"/>
        <v>0.94020674260566039</v>
      </c>
      <c r="AE122" s="143">
        <f t="shared" si="43"/>
        <v>0.95015850345530473</v>
      </c>
      <c r="AF122" s="143">
        <f t="shared" si="44"/>
        <v>0.9605604426179688</v>
      </c>
    </row>
    <row r="123" spans="1:32" x14ac:dyDescent="0.25">
      <c r="A123" s="40">
        <v>135</v>
      </c>
      <c r="B123" s="64">
        <f t="shared" si="74"/>
        <v>92.408398838798334</v>
      </c>
      <c r="C123" s="64">
        <f t="shared" si="75"/>
        <v>86.857781352905803</v>
      </c>
      <c r="D123" s="116">
        <f t="shared" si="35"/>
        <v>89.633090095852069</v>
      </c>
      <c r="E123" s="65">
        <f t="shared" si="80"/>
        <v>2.8353330016708251</v>
      </c>
      <c r="F123" s="65">
        <f t="shared" si="81"/>
        <v>2.4141734952571383</v>
      </c>
      <c r="G123" s="116">
        <f t="shared" si="36"/>
        <v>2.6247532484639819</v>
      </c>
      <c r="H123" s="65">
        <f t="shared" si="82"/>
        <v>2.729554676063441</v>
      </c>
      <c r="I123" s="65">
        <f t="shared" si="83"/>
        <v>2.5374311707230564</v>
      </c>
      <c r="J123" s="116">
        <f t="shared" si="54"/>
        <v>2.6334929233932485</v>
      </c>
      <c r="K123" s="66">
        <f t="shared" si="76"/>
        <v>90.409609824979128</v>
      </c>
      <c r="L123" s="66">
        <f t="shared" si="77"/>
        <v>85.879066932516437</v>
      </c>
      <c r="M123" s="66">
        <f t="shared" si="37"/>
        <v>88.14433837874779</v>
      </c>
      <c r="N123" s="69">
        <f t="shared" si="84"/>
        <v>2.9032514636762987</v>
      </c>
      <c r="O123" s="69">
        <f t="shared" si="85"/>
        <v>2.4867754499763968</v>
      </c>
      <c r="P123" s="123">
        <f t="shared" si="38"/>
        <v>2.6950134568263477</v>
      </c>
      <c r="Q123" s="69">
        <f t="shared" si="86"/>
        <v>2.8570799193478282</v>
      </c>
      <c r="R123" s="69">
        <f t="shared" si="87"/>
        <v>2.6408125344487337</v>
      </c>
      <c r="S123" s="123">
        <f t="shared" si="39"/>
        <v>2.7489462268982807</v>
      </c>
      <c r="T123" s="67">
        <f t="shared" si="78"/>
        <v>88.410820811159923</v>
      </c>
      <c r="U123" s="67">
        <f t="shared" si="79"/>
        <v>84.900352512127071</v>
      </c>
      <c r="V123" s="119">
        <f t="shared" si="40"/>
        <v>86.655586661643497</v>
      </c>
      <c r="W123" s="68">
        <f t="shared" si="88"/>
        <v>2.9711699256817723</v>
      </c>
      <c r="X123" s="68">
        <f t="shared" si="89"/>
        <v>2.5593774046956552</v>
      </c>
      <c r="Y123" s="118">
        <f t="shared" si="41"/>
        <v>2.7652736651887135</v>
      </c>
      <c r="Z123" s="68">
        <f t="shared" si="90"/>
        <v>2.9846051626322154</v>
      </c>
      <c r="AA123" s="68">
        <f t="shared" si="91"/>
        <v>2.744193898174411</v>
      </c>
      <c r="AB123" s="118">
        <f t="shared" si="59"/>
        <v>2.864399530403313</v>
      </c>
      <c r="AD123" s="143">
        <f t="shared" si="42"/>
        <v>0.9399338419922707</v>
      </c>
      <c r="AE123" s="143">
        <f t="shared" si="43"/>
        <v>0.94988870208340448</v>
      </c>
      <c r="AF123" s="143">
        <f t="shared" si="44"/>
        <v>0.96029368049267416</v>
      </c>
    </row>
    <row r="124" spans="1:32" x14ac:dyDescent="0.25">
      <c r="A124" s="40">
        <v>136</v>
      </c>
      <c r="B124" s="64">
        <f t="shared" si="74"/>
        <v>93.44613622944992</v>
      </c>
      <c r="C124" s="64">
        <f t="shared" si="75"/>
        <v>87.808725128433778</v>
      </c>
      <c r="D124" s="116">
        <f t="shared" si="35"/>
        <v>90.627430678941849</v>
      </c>
      <c r="E124" s="65">
        <f t="shared" si="80"/>
        <v>2.8444580967585122</v>
      </c>
      <c r="F124" s="65">
        <f t="shared" si="81"/>
        <v>2.4244514341406269</v>
      </c>
      <c r="G124" s="116">
        <f t="shared" si="36"/>
        <v>2.6344547654495694</v>
      </c>
      <c r="H124" s="65">
        <f t="shared" si="82"/>
        <v>2.7410191849910155</v>
      </c>
      <c r="I124" s="65">
        <f t="shared" si="83"/>
        <v>2.5495213245331394</v>
      </c>
      <c r="J124" s="116">
        <f t="shared" si="54"/>
        <v>2.6452702547620772</v>
      </c>
      <c r="K124" s="66">
        <f t="shared" si="76"/>
        <v>91.425767908488012</v>
      </c>
      <c r="L124" s="66">
        <f t="shared" si="77"/>
        <v>86.82066767738192</v>
      </c>
      <c r="M124" s="66">
        <f t="shared" si="37"/>
        <v>89.123217792934966</v>
      </c>
      <c r="N124" s="69">
        <f t="shared" si="84"/>
        <v>2.9140563192894664</v>
      </c>
      <c r="O124" s="69">
        <f t="shared" si="85"/>
        <v>2.4980543858632411</v>
      </c>
      <c r="P124" s="123">
        <f t="shared" si="38"/>
        <v>2.706055352576354</v>
      </c>
      <c r="Q124" s="69">
        <f t="shared" si="86"/>
        <v>2.8704684759544801</v>
      </c>
      <c r="R124" s="69">
        <f t="shared" si="87"/>
        <v>2.6540237664525552</v>
      </c>
      <c r="S124" s="123">
        <f t="shared" si="39"/>
        <v>2.7622461212035176</v>
      </c>
      <c r="T124" s="67">
        <f t="shared" si="78"/>
        <v>89.405399587526105</v>
      </c>
      <c r="U124" s="67">
        <f t="shared" si="79"/>
        <v>85.832610226330047</v>
      </c>
      <c r="V124" s="119">
        <f t="shared" si="40"/>
        <v>87.619004906928069</v>
      </c>
      <c r="W124" s="68">
        <f t="shared" si="88"/>
        <v>2.983654541820421</v>
      </c>
      <c r="X124" s="68">
        <f t="shared" si="89"/>
        <v>2.5716573375858554</v>
      </c>
      <c r="Y124" s="118">
        <f t="shared" si="41"/>
        <v>2.7776559397031382</v>
      </c>
      <c r="Z124" s="68">
        <f t="shared" si="90"/>
        <v>2.9999177669179451</v>
      </c>
      <c r="AA124" s="68">
        <f t="shared" si="91"/>
        <v>2.758526208371971</v>
      </c>
      <c r="AB124" s="118">
        <f t="shared" si="59"/>
        <v>2.8792219876449581</v>
      </c>
      <c r="AD124" s="143">
        <f t="shared" si="42"/>
        <v>0.93967207924815743</v>
      </c>
      <c r="AE124" s="143">
        <f t="shared" si="43"/>
        <v>0.94963017170700126</v>
      </c>
      <c r="AF124" s="143">
        <f t="shared" si="44"/>
        <v>0.9600383267936925</v>
      </c>
    </row>
    <row r="125" spans="1:32" x14ac:dyDescent="0.25">
      <c r="A125" s="40">
        <v>137</v>
      </c>
      <c r="B125" s="64">
        <f t="shared" si="74"/>
        <v>94.482748800942773</v>
      </c>
      <c r="C125" s="64">
        <f t="shared" si="75"/>
        <v>88.759102857752652</v>
      </c>
      <c r="D125" s="116">
        <f t="shared" si="35"/>
        <v>91.620925829347712</v>
      </c>
      <c r="E125" s="65">
        <f t="shared" si="80"/>
        <v>2.853261250308083</v>
      </c>
      <c r="F125" s="65">
        <f t="shared" si="81"/>
        <v>2.4345656308789603</v>
      </c>
      <c r="G125" s="116">
        <f t="shared" si="36"/>
        <v>2.6439134405935216</v>
      </c>
      <c r="H125" s="65">
        <f t="shared" si="82"/>
        <v>2.7524856718639121</v>
      </c>
      <c r="I125" s="65">
        <f t="shared" si="83"/>
        <v>2.5616821141461199</v>
      </c>
      <c r="J125" s="116">
        <f t="shared" si="54"/>
        <v>2.6570838930050158</v>
      </c>
      <c r="K125" s="66">
        <f t="shared" si="76"/>
        <v>92.440851263415794</v>
      </c>
      <c r="L125" s="66">
        <f t="shared" si="77"/>
        <v>87.761746395399754</v>
      </c>
      <c r="M125" s="66">
        <f t="shared" si="37"/>
        <v>90.101298829407767</v>
      </c>
      <c r="N125" s="69">
        <f t="shared" si="84"/>
        <v>2.924520515959685</v>
      </c>
      <c r="O125" s="69">
        <f t="shared" si="85"/>
        <v>2.5091589880133198</v>
      </c>
      <c r="P125" s="123">
        <f t="shared" si="38"/>
        <v>2.7168397519865026</v>
      </c>
      <c r="Q125" s="69">
        <f t="shared" si="86"/>
        <v>2.8838505575142062</v>
      </c>
      <c r="R125" s="69">
        <f t="shared" si="87"/>
        <v>2.667302001930782</v>
      </c>
      <c r="S125" s="123">
        <f t="shared" si="39"/>
        <v>2.7755762797224941</v>
      </c>
      <c r="T125" s="67">
        <f t="shared" si="78"/>
        <v>90.39895372588883</v>
      </c>
      <c r="U125" s="67">
        <f t="shared" si="79"/>
        <v>86.764389933046857</v>
      </c>
      <c r="V125" s="119">
        <f t="shared" si="40"/>
        <v>88.581671829467837</v>
      </c>
      <c r="W125" s="68">
        <f t="shared" si="88"/>
        <v>2.9957797816112874</v>
      </c>
      <c r="X125" s="68">
        <f t="shared" si="89"/>
        <v>2.5837523451476794</v>
      </c>
      <c r="Y125" s="118">
        <f t="shared" si="41"/>
        <v>2.7897660633794832</v>
      </c>
      <c r="Z125" s="68">
        <f t="shared" si="90"/>
        <v>3.0152154431644997</v>
      </c>
      <c r="AA125" s="68">
        <f t="shared" si="91"/>
        <v>2.7729218897154442</v>
      </c>
      <c r="AB125" s="118">
        <f t="shared" si="59"/>
        <v>2.894068666439972</v>
      </c>
      <c r="AD125" s="143">
        <f t="shared" si="42"/>
        <v>0.93942125926872899</v>
      </c>
      <c r="AE125" s="143">
        <f t="shared" si="43"/>
        <v>0.94938271549790632</v>
      </c>
      <c r="AF125" s="143">
        <f t="shared" si="44"/>
        <v>0.95979418297403263</v>
      </c>
    </row>
    <row r="126" spans="1:32" x14ac:dyDescent="0.25">
      <c r="A126" s="40">
        <v>138</v>
      </c>
      <c r="B126" s="64">
        <f t="shared" si="74"/>
        <v>95.51812939569912</v>
      </c>
      <c r="C126" s="64">
        <f t="shared" si="75"/>
        <v>89.708830406204243</v>
      </c>
      <c r="D126" s="116">
        <f t="shared" si="35"/>
        <v>92.613479900951688</v>
      </c>
      <c r="E126" s="65">
        <f t="shared" si="80"/>
        <v>2.8617516596489594</v>
      </c>
      <c r="F126" s="65">
        <f t="shared" si="81"/>
        <v>2.4445182087475921</v>
      </c>
      <c r="G126" s="116">
        <f t="shared" si="36"/>
        <v>2.6531349341982757</v>
      </c>
      <c r="H126" s="65">
        <f t="shared" si="82"/>
        <v>2.7639610730027311</v>
      </c>
      <c r="I126" s="65">
        <f t="shared" si="83"/>
        <v>2.5739152378311712</v>
      </c>
      <c r="J126" s="116">
        <f t="shared" si="54"/>
        <v>2.6689381554169511</v>
      </c>
      <c r="K126" s="66">
        <f t="shared" si="76"/>
        <v>93.454754839325815</v>
      </c>
      <c r="L126" s="66">
        <f t="shared" si="77"/>
        <v>88.702219763200731</v>
      </c>
      <c r="M126" s="66">
        <f t="shared" si="37"/>
        <v>91.078487301263266</v>
      </c>
      <c r="N126" s="69">
        <f t="shared" si="84"/>
        <v>2.9346525057948987</v>
      </c>
      <c r="O126" s="69">
        <f t="shared" si="85"/>
        <v>2.520091335268603</v>
      </c>
      <c r="P126" s="123">
        <f t="shared" si="38"/>
        <v>2.727371920531751</v>
      </c>
      <c r="Q126" s="69">
        <f t="shared" si="86"/>
        <v>2.8972328897028801</v>
      </c>
      <c r="R126" s="69">
        <f t="shared" si="87"/>
        <v>2.6806490814662269</v>
      </c>
      <c r="S126" s="123">
        <f t="shared" si="39"/>
        <v>2.7889409855845537</v>
      </c>
      <c r="T126" s="67">
        <f t="shared" si="78"/>
        <v>91.391380282952511</v>
      </c>
      <c r="U126" s="67">
        <f t="shared" si="79"/>
        <v>87.695609120197219</v>
      </c>
      <c r="V126" s="119">
        <f t="shared" si="40"/>
        <v>89.543494701574872</v>
      </c>
      <c r="W126" s="68">
        <f t="shared" si="88"/>
        <v>3.0075533519408379</v>
      </c>
      <c r="X126" s="68">
        <f t="shared" si="89"/>
        <v>2.5956644617896134</v>
      </c>
      <c r="Y126" s="118">
        <f t="shared" si="41"/>
        <v>2.8016089068652255</v>
      </c>
      <c r="Z126" s="68">
        <f t="shared" si="90"/>
        <v>3.0305047064030286</v>
      </c>
      <c r="AA126" s="68">
        <f t="shared" si="91"/>
        <v>2.7873829251012827</v>
      </c>
      <c r="AB126" s="118">
        <f t="shared" si="59"/>
        <v>2.9089438157521554</v>
      </c>
      <c r="AD126" s="143">
        <f t="shared" si="42"/>
        <v>0.9391811897254716</v>
      </c>
      <c r="AE126" s="143">
        <f t="shared" si="43"/>
        <v>0.94914613938802805</v>
      </c>
      <c r="AF126" s="143">
        <f t="shared" si="44"/>
        <v>0.9595610532271972</v>
      </c>
    </row>
    <row r="127" spans="1:32" x14ac:dyDescent="0.25">
      <c r="A127" s="40">
        <v>139</v>
      </c>
      <c r="B127" s="64">
        <f t="shared" si="74"/>
        <v>96.552172947125541</v>
      </c>
      <c r="C127" s="64">
        <f t="shared" si="75"/>
        <v>90.657825095642664</v>
      </c>
      <c r="D127" s="116">
        <f t="shared" si="35"/>
        <v>93.604999021384103</v>
      </c>
      <c r="E127" s="65">
        <f t="shared" si="80"/>
        <v>2.8699384163116406</v>
      </c>
      <c r="F127" s="65">
        <f t="shared" si="81"/>
        <v>2.4543112939696892</v>
      </c>
      <c r="G127" s="116">
        <f t="shared" si="36"/>
        <v>2.6621248551406649</v>
      </c>
      <c r="H127" s="65">
        <f t="shared" si="82"/>
        <v>2.7754521677086772</v>
      </c>
      <c r="I127" s="65">
        <f t="shared" si="83"/>
        <v>2.5862223690862329</v>
      </c>
      <c r="J127" s="116">
        <f t="shared" si="54"/>
        <v>2.6808372683974548</v>
      </c>
      <c r="K127" s="66">
        <f t="shared" si="76"/>
        <v>94.467375623116084</v>
      </c>
      <c r="L127" s="66">
        <f t="shared" si="77"/>
        <v>89.642005885263501</v>
      </c>
      <c r="M127" s="66">
        <f t="shared" si="37"/>
        <v>92.054690754189792</v>
      </c>
      <c r="N127" s="69">
        <f t="shared" si="84"/>
        <v>2.9444606924283256</v>
      </c>
      <c r="O127" s="69">
        <f t="shared" si="85"/>
        <v>2.5308535176288611</v>
      </c>
      <c r="P127" s="123">
        <f t="shared" si="38"/>
        <v>2.7376571050285934</v>
      </c>
      <c r="Q127" s="69">
        <f t="shared" si="86"/>
        <v>2.9106220740313229</v>
      </c>
      <c r="R127" s="69">
        <f t="shared" si="87"/>
        <v>2.69406682126312</v>
      </c>
      <c r="S127" s="123">
        <f t="shared" si="39"/>
        <v>2.8023444476472212</v>
      </c>
      <c r="T127" s="67">
        <f t="shared" si="78"/>
        <v>92.38257829910664</v>
      </c>
      <c r="U127" s="67">
        <f t="shared" si="79"/>
        <v>88.626186674884323</v>
      </c>
      <c r="V127" s="119">
        <f t="shared" si="40"/>
        <v>90.504382486995482</v>
      </c>
      <c r="W127" s="68">
        <f t="shared" si="88"/>
        <v>3.0189829685450107</v>
      </c>
      <c r="X127" s="68">
        <f t="shared" si="89"/>
        <v>2.6073957412880331</v>
      </c>
      <c r="Y127" s="118">
        <f t="shared" si="41"/>
        <v>2.8131893549165219</v>
      </c>
      <c r="Z127" s="68">
        <f t="shared" si="90"/>
        <v>3.0457919803539686</v>
      </c>
      <c r="AA127" s="68">
        <f t="shared" si="91"/>
        <v>2.8019112734400067</v>
      </c>
      <c r="AB127" s="118">
        <f t="shared" si="59"/>
        <v>2.9238516268969876</v>
      </c>
      <c r="AD127" s="143">
        <f t="shared" si="42"/>
        <v>0.93895168102834126</v>
      </c>
      <c r="AE127" s="143">
        <f t="shared" si="43"/>
        <v>0.948920252033848</v>
      </c>
      <c r="AF127" s="143">
        <f t="shared" si="44"/>
        <v>0.95933874445395684</v>
      </c>
    </row>
    <row r="128" spans="1:32" x14ac:dyDescent="0.25">
      <c r="A128" s="40">
        <v>140</v>
      </c>
      <c r="B128" s="64">
        <f t="shared" si="74"/>
        <v>97.584776477966813</v>
      </c>
      <c r="C128" s="64">
        <f t="shared" si="75"/>
        <v>91.606005702196953</v>
      </c>
      <c r="D128" s="116">
        <f t="shared" si="35"/>
        <v>94.595391090081876</v>
      </c>
      <c r="E128" s="65">
        <f t="shared" si="80"/>
        <v>2.8778304953735456</v>
      </c>
      <c r="F128" s="65">
        <f t="shared" si="81"/>
        <v>2.4639470139519668</v>
      </c>
      <c r="G128" s="116">
        <f t="shared" si="36"/>
        <v>2.670888754662756</v>
      </c>
      <c r="H128" s="65">
        <f t="shared" si="82"/>
        <v>2.7869655772229942</v>
      </c>
      <c r="I128" s="65">
        <f t="shared" si="83"/>
        <v>2.5986051569922011</v>
      </c>
      <c r="J128" s="116">
        <f t="shared" si="54"/>
        <v>2.6927853671075974</v>
      </c>
      <c r="K128" s="66">
        <f t="shared" si="76"/>
        <v>95.478612637718754</v>
      </c>
      <c r="L128" s="66">
        <f t="shared" si="77"/>
        <v>90.581024291995419</v>
      </c>
      <c r="M128" s="66">
        <f t="shared" si="37"/>
        <v>93.029818464857087</v>
      </c>
      <c r="N128" s="69">
        <f t="shared" si="84"/>
        <v>2.9539534191974481</v>
      </c>
      <c r="O128" s="69">
        <f t="shared" si="85"/>
        <v>2.5414476341738981</v>
      </c>
      <c r="P128" s="123">
        <f t="shared" si="38"/>
        <v>2.7477005266856729</v>
      </c>
      <c r="Q128" s="69">
        <f t="shared" si="86"/>
        <v>2.9240245857602503</v>
      </c>
      <c r="R128" s="69">
        <f t="shared" si="87"/>
        <v>2.7075570133941982</v>
      </c>
      <c r="S128" s="123">
        <f t="shared" si="39"/>
        <v>2.8157907995772242</v>
      </c>
      <c r="T128" s="67">
        <f t="shared" si="78"/>
        <v>93.37244879747071</v>
      </c>
      <c r="U128" s="67">
        <f t="shared" si="79"/>
        <v>89.556042881793886</v>
      </c>
      <c r="V128" s="119">
        <f t="shared" si="40"/>
        <v>91.464245839632298</v>
      </c>
      <c r="W128" s="68">
        <f t="shared" si="88"/>
        <v>3.0300763430213506</v>
      </c>
      <c r="X128" s="68">
        <f t="shared" si="89"/>
        <v>2.6189482543958289</v>
      </c>
      <c r="Y128" s="118">
        <f t="shared" si="41"/>
        <v>2.8245122987085898</v>
      </c>
      <c r="Z128" s="68">
        <f t="shared" si="90"/>
        <v>3.0610835942975063</v>
      </c>
      <c r="AA128" s="68">
        <f t="shared" si="91"/>
        <v>2.8165088697961957</v>
      </c>
      <c r="AB128" s="118">
        <f t="shared" si="59"/>
        <v>2.938796232046851</v>
      </c>
      <c r="AD128" s="143">
        <f t="shared" si="42"/>
        <v>0.93873254628892067</v>
      </c>
      <c r="AE128" s="143">
        <f t="shared" si="43"/>
        <v>0.94870486478153382</v>
      </c>
      <c r="AF128" s="143">
        <f t="shared" si="44"/>
        <v>0.95912706622962418</v>
      </c>
    </row>
    <row r="129" spans="1:32" x14ac:dyDescent="0.25">
      <c r="A129" s="40">
        <v>141</v>
      </c>
      <c r="B129" s="64">
        <f t="shared" si="74"/>
        <v>98.615839097413129</v>
      </c>
      <c r="C129" s="64">
        <f t="shared" si="75"/>
        <v>92.553292453378816</v>
      </c>
      <c r="D129" s="116">
        <f t="shared" si="35"/>
        <v>95.584565775395973</v>
      </c>
      <c r="E129" s="65">
        <f t="shared" si="80"/>
        <v>2.8854367458033554</v>
      </c>
      <c r="F129" s="65">
        <f t="shared" si="81"/>
        <v>2.4734274956061255</v>
      </c>
      <c r="G129" s="116">
        <f t="shared" si="36"/>
        <v>2.6794321207047407</v>
      </c>
      <c r="H129" s="65">
        <f>E129/(B129-B128)</f>
        <v>2.7985077641092664</v>
      </c>
      <c r="I129" s="65">
        <f t="shared" si="83"/>
        <v>2.6110652265749552</v>
      </c>
      <c r="J129" s="116">
        <f t="shared" si="54"/>
        <v>2.7047864953421108</v>
      </c>
      <c r="K129" s="66">
        <f t="shared" si="76"/>
        <v>96.488366939579208</v>
      </c>
      <c r="L129" s="66">
        <f t="shared" si="77"/>
        <v>91.519195937168163</v>
      </c>
      <c r="M129" s="66">
        <f t="shared" si="37"/>
        <v>94.003781438373693</v>
      </c>
      <c r="N129" s="69">
        <f t="shared" si="84"/>
        <v>2.96313895821363</v>
      </c>
      <c r="O129" s="69">
        <f t="shared" si="85"/>
        <v>2.5518757910763226</v>
      </c>
      <c r="P129" s="123">
        <f t="shared" si="38"/>
        <v>2.7575073746449763</v>
      </c>
      <c r="Q129" s="69">
        <f t="shared" si="86"/>
        <v>2.9374467722081752</v>
      </c>
      <c r="R129" s="69">
        <f t="shared" si="87"/>
        <v>2.7211214260600811</v>
      </c>
      <c r="S129" s="123">
        <f t="shared" si="39"/>
        <v>2.8292840991341279</v>
      </c>
      <c r="T129" s="67">
        <f t="shared" si="78"/>
        <v>94.360894781745273</v>
      </c>
      <c r="U129" s="67">
        <f t="shared" si="79"/>
        <v>90.485099420957511</v>
      </c>
      <c r="V129" s="119">
        <f t="shared" si="40"/>
        <v>92.422997101351399</v>
      </c>
      <c r="W129" s="68">
        <f t="shared" si="88"/>
        <v>3.0408411706239047</v>
      </c>
      <c r="X129" s="68">
        <f t="shared" si="89"/>
        <v>2.6303240865465192</v>
      </c>
      <c r="Y129" s="118">
        <f t="shared" si="41"/>
        <v>2.8355826285852119</v>
      </c>
      <c r="Z129" s="68">
        <f t="shared" si="90"/>
        <v>3.0763857803070844</v>
      </c>
      <c r="AA129" s="68">
        <f t="shared" si="91"/>
        <v>2.831177625545207</v>
      </c>
      <c r="AB129" s="118">
        <f t="shared" si="59"/>
        <v>2.9537817029261459</v>
      </c>
      <c r="AD129" s="143">
        <f t="shared" si="42"/>
        <v>0.938523601284316</v>
      </c>
      <c r="AE129" s="143">
        <f t="shared" si="43"/>
        <v>0.94849979163267706</v>
      </c>
      <c r="AF129" s="143">
        <f t="shared" si="44"/>
        <v>0.95892583077182136</v>
      </c>
    </row>
    <row r="130" spans="1:32" x14ac:dyDescent="0.25">
      <c r="A130" s="40">
        <v>142</v>
      </c>
      <c r="B130" s="64">
        <f t="shared" si="74"/>
        <v>99.645261997002081</v>
      </c>
      <c r="C130" s="64">
        <f t="shared" si="75"/>
        <v>93.499607024556468</v>
      </c>
      <c r="D130" s="116">
        <f t="shared" si="35"/>
        <v>96.572434510779274</v>
      </c>
      <c r="E130" s="65">
        <f t="shared" si="80"/>
        <v>2.892765881764686</v>
      </c>
      <c r="F130" s="65">
        <f t="shared" si="81"/>
        <v>2.4827548637535637</v>
      </c>
      <c r="G130" s="116">
        <f t="shared" si="36"/>
        <v>2.6877603727591248</v>
      </c>
      <c r="H130" s="65">
        <f t="shared" si="82"/>
        <v>2.8100850320308282</v>
      </c>
      <c r="I130" s="65">
        <f t="shared" si="83"/>
        <v>2.6236041791725464</v>
      </c>
      <c r="J130" s="116">
        <f t="shared" si="54"/>
        <v>2.7168446056016871</v>
      </c>
      <c r="K130" s="66">
        <f t="shared" si="76"/>
        <v>97.496541614954708</v>
      </c>
      <c r="L130" s="66">
        <f t="shared" si="77"/>
        <v>92.456443194728152</v>
      </c>
      <c r="M130" s="66">
        <f t="shared" si="37"/>
        <v>94.976492404841423</v>
      </c>
      <c r="N130" s="69">
        <f t="shared" si="84"/>
        <v>2.9720255002951523</v>
      </c>
      <c r="O130" s="69">
        <f t="shared" si="85"/>
        <v>2.5621400997028019</v>
      </c>
      <c r="P130" s="123">
        <f t="shared" si="38"/>
        <v>2.7670827999989771</v>
      </c>
      <c r="Q130" s="69">
        <f t="shared" si="86"/>
        <v>2.9508948514315474</v>
      </c>
      <c r="R130" s="69">
        <f t="shared" si="87"/>
        <v>2.7347618038591865</v>
      </c>
      <c r="S130" s="123">
        <f t="shared" si="39"/>
        <v>2.8428283276453667</v>
      </c>
      <c r="T130" s="67">
        <f t="shared" si="78"/>
        <v>95.347821232907322</v>
      </c>
      <c r="U130" s="67">
        <f t="shared" si="79"/>
        <v>91.413279364899836</v>
      </c>
      <c r="V130" s="119">
        <f t="shared" si="40"/>
        <v>93.380550298903586</v>
      </c>
      <c r="W130" s="68">
        <f t="shared" si="88"/>
        <v>3.0512851188256187</v>
      </c>
      <c r="X130" s="68">
        <f t="shared" si="89"/>
        <v>2.6415253356520396</v>
      </c>
      <c r="Y130" s="118">
        <f t="shared" si="41"/>
        <v>2.8464052272388294</v>
      </c>
      <c r="Z130" s="68">
        <f t="shared" si="90"/>
        <v>3.0917046708322671</v>
      </c>
      <c r="AA130" s="68">
        <f t="shared" si="91"/>
        <v>2.8459194285458267</v>
      </c>
      <c r="AB130" s="118">
        <f t="shared" si="59"/>
        <v>2.9688120496890469</v>
      </c>
      <c r="AD130" s="143">
        <f t="shared" si="42"/>
        <v>0.93832466442177143</v>
      </c>
      <c r="AE130" s="143">
        <f t="shared" si="43"/>
        <v>0.94830484921063629</v>
      </c>
      <c r="AF130" s="143">
        <f t="shared" si="44"/>
        <v>0.95873485290873584</v>
      </c>
    </row>
    <row r="131" spans="1:32" x14ac:dyDescent="0.25">
      <c r="A131" s="40">
        <v>143</v>
      </c>
      <c r="B131" s="64">
        <f t="shared" si="74"/>
        <v>100.6729484453562</v>
      </c>
      <c r="C131" s="64">
        <f t="shared" si="75"/>
        <v>94.444872534814436</v>
      </c>
      <c r="D131" s="116">
        <f t="shared" si="35"/>
        <v>97.55891049008531</v>
      </c>
      <c r="E131" s="65">
        <f t="shared" si="80"/>
        <v>2.8998264748389193</v>
      </c>
      <c r="F131" s="65">
        <f t="shared" si="81"/>
        <v>2.4919312396110085</v>
      </c>
      <c r="G131" s="116">
        <f t="shared" si="36"/>
        <v>2.6958788572249639</v>
      </c>
      <c r="H131" s="65">
        <f t="shared" si="82"/>
        <v>2.8217035258984993</v>
      </c>
      <c r="I131" s="65">
        <f t="shared" si="83"/>
        <v>2.6362235928093329</v>
      </c>
      <c r="J131" s="116">
        <f t="shared" si="54"/>
        <v>2.7289635593539163</v>
      </c>
      <c r="K131" s="66">
        <f t="shared" si="76"/>
        <v>98.503041775072461</v>
      </c>
      <c r="L131" s="66">
        <f t="shared" si="77"/>
        <v>93.392689855001521</v>
      </c>
      <c r="M131" s="66">
        <f t="shared" si="37"/>
        <v>95.947865815036991</v>
      </c>
      <c r="N131" s="69">
        <f t="shared" si="84"/>
        <v>2.980621145735066</v>
      </c>
      <c r="O131" s="69">
        <f t="shared" si="85"/>
        <v>2.5722426748016645</v>
      </c>
      <c r="P131" s="123">
        <f t="shared" si="38"/>
        <v>2.7764319102683652</v>
      </c>
      <c r="Q131" s="69">
        <f t="shared" si="86"/>
        <v>2.9643749112560975</v>
      </c>
      <c r="R131" s="69">
        <f t="shared" si="87"/>
        <v>2.7484798680688822</v>
      </c>
      <c r="S131" s="123">
        <f t="shared" si="39"/>
        <v>2.8564273896624899</v>
      </c>
      <c r="T131" s="67">
        <f t="shared" si="78"/>
        <v>96.333135104788724</v>
      </c>
      <c r="U131" s="67">
        <f t="shared" si="79"/>
        <v>92.340507175188591</v>
      </c>
      <c r="V131" s="119">
        <f t="shared" si="40"/>
        <v>94.336821139988658</v>
      </c>
      <c r="W131" s="68">
        <f t="shared" si="88"/>
        <v>3.0614158166312131</v>
      </c>
      <c r="X131" s="68">
        <f t="shared" si="89"/>
        <v>2.6525541099923204</v>
      </c>
      <c r="Y131" s="118">
        <f t="shared" si="41"/>
        <v>2.856984963311767</v>
      </c>
      <c r="Z131" s="68">
        <f t="shared" si="90"/>
        <v>3.1070462966136962</v>
      </c>
      <c r="AA131" s="68">
        <f t="shared" si="91"/>
        <v>2.8607361433284311</v>
      </c>
      <c r="AB131" s="118">
        <f t="shared" si="59"/>
        <v>2.9838912199710634</v>
      </c>
      <c r="AD131" s="143">
        <f t="shared" si="42"/>
        <v>0.93813555670397131</v>
      </c>
      <c r="AE131" s="143">
        <f t="shared" si="43"/>
        <v>0.94811985672746824</v>
      </c>
      <c r="AF131" s="143">
        <f t="shared" si="44"/>
        <v>0.9585539500478516</v>
      </c>
    </row>
    <row r="132" spans="1:32" x14ac:dyDescent="0.25">
      <c r="A132" s="40">
        <v>144</v>
      </c>
      <c r="B132" s="64">
        <f>(1.599 + ((301.48 - 1.599)*(($A132/195.9)^2.2191)))/(1 + (($A132 / 195.9)^2.2191))</f>
        <v>101.69880378179708</v>
      </c>
      <c r="C132" s="64">
        <f t="shared" si="75"/>
        <v>95.389013542220411</v>
      </c>
      <c r="D132" s="116">
        <f t="shared" si="35"/>
        <v>98.543908662008747</v>
      </c>
      <c r="E132" s="65">
        <f t="shared" si="80"/>
        <v>2.9066269471263446</v>
      </c>
      <c r="F132" s="65">
        <f t="shared" si="81"/>
        <v>2.5009587393547017</v>
      </c>
      <c r="G132" s="116">
        <f t="shared" si="36"/>
        <v>2.7037928432405232</v>
      </c>
      <c r="H132" s="65">
        <f t="shared" si="82"/>
        <v>2.8333692323623665</v>
      </c>
      <c r="I132" s="65">
        <f t="shared" si="83"/>
        <v>2.6489250225727199</v>
      </c>
      <c r="J132" s="116">
        <f t="shared" si="54"/>
        <v>2.741147127467543</v>
      </c>
      <c r="K132" s="66">
        <f t="shared" si="76"/>
        <v>99.507774550186753</v>
      </c>
      <c r="L132" s="66">
        <f t="shared" si="77"/>
        <v>94.327861120313884</v>
      </c>
      <c r="M132" s="66">
        <f t="shared" si="37"/>
        <v>96.917817835250318</v>
      </c>
      <c r="N132" s="69">
        <f t="shared" si="84"/>
        <v>2.9889338958741489</v>
      </c>
      <c r="O132" s="69">
        <f t="shared" si="85"/>
        <v>2.5821856327747121</v>
      </c>
      <c r="P132" s="123">
        <f t="shared" si="38"/>
        <v>2.7855597643244305</v>
      </c>
      <c r="Q132" s="69">
        <f t="shared" si="86"/>
        <v>2.9778929086384052</v>
      </c>
      <c r="R132" s="69">
        <f t="shared" si="87"/>
        <v>2.7622773169340484</v>
      </c>
      <c r="S132" s="123">
        <f t="shared" si="39"/>
        <v>2.870085112786227</v>
      </c>
      <c r="T132" s="67">
        <f t="shared" si="78"/>
        <v>97.316745318576423</v>
      </c>
      <c r="U132" s="67">
        <f t="shared" si="79"/>
        <v>93.266708698407342</v>
      </c>
      <c r="V132" s="119">
        <f t="shared" si="40"/>
        <v>95.291727008491875</v>
      </c>
      <c r="W132" s="68">
        <f t="shared" si="88"/>
        <v>3.0712408446219532</v>
      </c>
      <c r="X132" s="68">
        <f t="shared" si="89"/>
        <v>2.6634125261947226</v>
      </c>
      <c r="Y132" s="118">
        <f t="shared" si="41"/>
        <v>2.8673266854083379</v>
      </c>
      <c r="Z132" s="68">
        <f t="shared" si="90"/>
        <v>3.1224165849144434</v>
      </c>
      <c r="AA132" s="68">
        <f t="shared" si="91"/>
        <v>2.875629611295377</v>
      </c>
      <c r="AB132" s="118">
        <f t="shared" si="59"/>
        <v>2.9990230981049102</v>
      </c>
      <c r="AD132" s="143">
        <f t="shared" si="42"/>
        <v>0.93795610169501276</v>
      </c>
      <c r="AE132" s="143">
        <f t="shared" si="43"/>
        <v>0.9479446359514313</v>
      </c>
      <c r="AF132" s="143">
        <f t="shared" si="44"/>
        <v>0.95838294214514808</v>
      </c>
    </row>
    <row r="133" spans="1:32" x14ac:dyDescent="0.25">
      <c r="A133" s="40">
        <v>145</v>
      </c>
      <c r="B133" s="64">
        <f t="shared" si="74"/>
        <v>102.72273540887643</v>
      </c>
      <c r="C133" s="64">
        <f t="shared" si="75"/>
        <v>96.331956038519181</v>
      </c>
      <c r="D133" s="116">
        <f t="shared" si="35"/>
        <v>99.527345723697806</v>
      </c>
      <c r="E133" s="65">
        <f t="shared" si="80"/>
        <v>2.9131755651843272</v>
      </c>
      <c r="F133" s="65">
        <f t="shared" si="81"/>
        <v>2.5098394727608269</v>
      </c>
      <c r="G133" s="116">
        <f t="shared" si="36"/>
        <v>2.711507518972577</v>
      </c>
      <c r="H133" s="65">
        <f t="shared" si="82"/>
        <v>2.8450879806240921</v>
      </c>
      <c r="I133" s="65">
        <f t="shared" si="83"/>
        <v>2.6617100009941526</v>
      </c>
      <c r="J133" s="116">
        <f t="shared" si="54"/>
        <v>2.7533989908091225</v>
      </c>
      <c r="K133" s="66">
        <f t="shared" si="76"/>
        <v>100.51064908257442</v>
      </c>
      <c r="L133" s="66">
        <f t="shared" si="77"/>
        <v>95.261883600044186</v>
      </c>
      <c r="M133" s="66">
        <f t="shared" si="37"/>
        <v>97.886266341309295</v>
      </c>
      <c r="N133" s="69">
        <f t="shared" si="84"/>
        <v>2.9969716454483843</v>
      </c>
      <c r="O133" s="69">
        <f t="shared" si="85"/>
        <v>2.5919710900310928</v>
      </c>
      <c r="P133" s="123">
        <f t="shared" si="38"/>
        <v>2.7944713677397388</v>
      </c>
      <c r="Q133" s="69">
        <f t="shared" si="86"/>
        <v>2.9914546693390958</v>
      </c>
      <c r="R133" s="69">
        <f t="shared" si="87"/>
        <v>2.7761558259654855</v>
      </c>
      <c r="S133" s="123">
        <f t="shared" si="39"/>
        <v>2.8838052476522904</v>
      </c>
      <c r="T133" s="67">
        <f t="shared" si="78"/>
        <v>98.298562756272418</v>
      </c>
      <c r="U133" s="67">
        <f t="shared" si="79"/>
        <v>94.191811161569191</v>
      </c>
      <c r="V133" s="119">
        <f t="shared" si="40"/>
        <v>96.245186958920812</v>
      </c>
      <c r="W133" s="68">
        <f t="shared" si="88"/>
        <v>3.0807677257124415</v>
      </c>
      <c r="X133" s="68">
        <f t="shared" si="89"/>
        <v>2.6741027073013588</v>
      </c>
      <c r="Y133" s="118">
        <f t="shared" si="41"/>
        <v>2.8774352165069002</v>
      </c>
      <c r="Z133" s="68">
        <f t="shared" si="90"/>
        <v>3.1378213580540995</v>
      </c>
      <c r="AA133" s="68">
        <f t="shared" si="91"/>
        <v>2.8906016509368189</v>
      </c>
      <c r="AB133" s="118">
        <f t="shared" si="59"/>
        <v>3.0142115044954592</v>
      </c>
      <c r="AD133" s="143">
        <f t="shared" si="42"/>
        <v>0.93778612548702622</v>
      </c>
      <c r="AE133" s="143">
        <f t="shared" si="43"/>
        <v>0.9477790111750436</v>
      </c>
      <c r="AF133" s="143">
        <f t="shared" si="44"/>
        <v>0.95822165167474771</v>
      </c>
    </row>
    <row r="134" spans="1:32" x14ac:dyDescent="0.25">
      <c r="A134" s="40">
        <v>146</v>
      </c>
      <c r="B134" s="64">
        <f t="shared" si="74"/>
        <v>103.74465278386459</v>
      </c>
      <c r="C134" s="64">
        <f t="shared" si="75"/>
        <v>97.273627443273156</v>
      </c>
      <c r="D134" s="116">
        <f t="shared" si="35"/>
        <v>100.50914011356888</v>
      </c>
      <c r="E134" s="65">
        <f t="shared" si="80"/>
        <v>2.9194804347610321</v>
      </c>
      <c r="F134" s="65">
        <f t="shared" si="81"/>
        <v>2.5185755419198013</v>
      </c>
      <c r="G134" s="116">
        <f t="shared" si="36"/>
        <v>2.7190279883404167</v>
      </c>
      <c r="H134" s="65">
        <f t="shared" si="82"/>
        <v>2.8568654435441494</v>
      </c>
      <c r="I134" s="65">
        <f t="shared" si="83"/>
        <v>2.6745800384347587</v>
      </c>
      <c r="J134" s="116">
        <f t="shared" si="54"/>
        <v>2.765722740989454</v>
      </c>
      <c r="K134" s="66">
        <f t="shared" si="76"/>
        <v>101.51157651850802</v>
      </c>
      <c r="L134" s="66">
        <f t="shared" si="77"/>
        <v>96.19468530513231</v>
      </c>
      <c r="M134" s="66">
        <f t="shared" si="37"/>
        <v>98.853130911820159</v>
      </c>
      <c r="N134" s="69">
        <f t="shared" si="84"/>
        <v>3.0047421756796737</v>
      </c>
      <c r="O134" s="69">
        <f t="shared" si="85"/>
        <v>2.6016011614210313</v>
      </c>
      <c r="P134" s="123">
        <f t="shared" si="38"/>
        <v>2.8031716685503527</v>
      </c>
      <c r="Q134" s="69">
        <f t="shared" si="86"/>
        <v>3.0050658878870355</v>
      </c>
      <c r="R134" s="69">
        <f t="shared" si="87"/>
        <v>2.7901170482449547</v>
      </c>
      <c r="S134" s="123">
        <f t="shared" si="39"/>
        <v>2.8975914680659951</v>
      </c>
      <c r="T134" s="67">
        <f t="shared" si="78"/>
        <v>99.278500253151449</v>
      </c>
      <c r="U134" s="67">
        <f t="shared" si="79"/>
        <v>95.115743166991464</v>
      </c>
      <c r="V134" s="119">
        <f t="shared" si="40"/>
        <v>97.197121710071457</v>
      </c>
      <c r="W134" s="68">
        <f t="shared" si="88"/>
        <v>3.0900039165983149</v>
      </c>
      <c r="X134" s="68">
        <f t="shared" si="89"/>
        <v>2.6846267809222613</v>
      </c>
      <c r="Y134" s="118">
        <f t="shared" si="41"/>
        <v>2.8873153487602883</v>
      </c>
      <c r="Z134" s="68">
        <f t="shared" si="90"/>
        <v>3.1532663322299217</v>
      </c>
      <c r="AA134" s="68">
        <f t="shared" si="91"/>
        <v>2.9056540580551506</v>
      </c>
      <c r="AB134" s="118">
        <f t="shared" si="59"/>
        <v>3.0294601951425362</v>
      </c>
      <c r="AD134" s="143">
        <f t="shared" si="42"/>
        <v>0.93762545666741215</v>
      </c>
      <c r="AE134" s="143">
        <f t="shared" si="43"/>
        <v>0.94762280918367658</v>
      </c>
      <c r="AF134" s="143">
        <f t="shared" si="44"/>
        <v>0.95806990359901367</v>
      </c>
    </row>
    <row r="135" spans="1:32" x14ac:dyDescent="0.25">
      <c r="A135" s="40">
        <v>147</v>
      </c>
      <c r="B135" s="64">
        <f t="shared" si="74"/>
        <v>104.76446740923652</v>
      </c>
      <c r="C135" s="64">
        <f t="shared" si="75"/>
        <v>98.213956597470343</v>
      </c>
      <c r="D135" s="116">
        <f t="shared" ref="D135:D188" si="92">AVERAGE(B135:C135)</f>
        <v>101.48921200335343</v>
      </c>
      <c r="E135" s="65">
        <f t="shared" si="80"/>
        <v>2.9255494962832755</v>
      </c>
      <c r="F135" s="65">
        <f t="shared" si="81"/>
        <v>2.5271690400221472</v>
      </c>
      <c r="G135" s="116">
        <f t="shared" ref="G135:G188" si="93">AVERAGE(E135:F135)</f>
        <v>2.7263592681527111</v>
      </c>
      <c r="H135" s="65">
        <f t="shared" si="82"/>
        <v>2.8687071390218017</v>
      </c>
      <c r="I135" s="65">
        <f t="shared" si="83"/>
        <v>2.6875366234706792</v>
      </c>
      <c r="J135" s="116">
        <f t="shared" ref="J135:J188" si="94">AVERAGE(H135:I135)</f>
        <v>2.7781218812462405</v>
      </c>
      <c r="K135" s="66">
        <f t="shared" si="76"/>
        <v>102.51046999924544</v>
      </c>
      <c r="L135" s="66">
        <f t="shared" si="77"/>
        <v>97.126195642059741</v>
      </c>
      <c r="M135" s="66">
        <f t="shared" ref="M135:M188" si="95">AVERAGE(K135:L135)</f>
        <v>99.818332820652586</v>
      </c>
      <c r="N135" s="69">
        <f t="shared" si="84"/>
        <v>3.012253148078063</v>
      </c>
      <c r="O135" s="69">
        <f t="shared" si="85"/>
        <v>2.6110779587472663</v>
      </c>
      <c r="P135" s="123">
        <f t="shared" ref="P135:P188" si="96">AVERAGE(N135:O135)</f>
        <v>2.8116655534126647</v>
      </c>
      <c r="Q135" s="69">
        <f t="shared" si="86"/>
        <v>3.0187321278153934</v>
      </c>
      <c r="R135" s="69">
        <f t="shared" si="87"/>
        <v>2.8041626147371939</v>
      </c>
      <c r="S135" s="123">
        <f t="shared" ref="S135:S188" si="97">AVERAGE(Q135:R135)</f>
        <v>2.9114473712762936</v>
      </c>
      <c r="T135" s="67">
        <f t="shared" si="78"/>
        <v>100.25647258925437</v>
      </c>
      <c r="U135" s="67">
        <f t="shared" si="79"/>
        <v>96.03843468664914</v>
      </c>
      <c r="V135" s="119">
        <f t="shared" ref="V135:V188" si="98">AVERAGE(T135:U135)</f>
        <v>98.147453637951756</v>
      </c>
      <c r="W135" s="68">
        <f t="shared" si="88"/>
        <v>3.0989567998728504</v>
      </c>
      <c r="X135" s="68">
        <f t="shared" si="89"/>
        <v>2.6949868774723855</v>
      </c>
      <c r="Y135" s="118">
        <f t="shared" ref="Y135:Y188" si="99">AVERAGE(W135:X135)</f>
        <v>2.8969718386726182</v>
      </c>
      <c r="Z135" s="68">
        <f t="shared" si="90"/>
        <v>3.168757116608985</v>
      </c>
      <c r="AA135" s="68">
        <f t="shared" si="91"/>
        <v>2.9207886060037085</v>
      </c>
      <c r="AB135" s="118">
        <f t="shared" ref="AB135:AB188" si="100">AVERAGE(Z135:AA135)</f>
        <v>3.0447728613063467</v>
      </c>
      <c r="AD135" s="143">
        <f t="shared" ref="AD135:AD188" si="101">C135/B135</f>
        <v>0.93747392628668436</v>
      </c>
      <c r="AE135" s="143">
        <f t="shared" ref="AE135:AE188" si="102">L135/K135</f>
        <v>0.94747585922466915</v>
      </c>
      <c r="AF135" s="143">
        <f t="shared" ref="AF135:AF188" si="103">U135/T135</f>
        <v>0.95792752533907399</v>
      </c>
    </row>
    <row r="136" spans="1:32" x14ac:dyDescent="0.25">
      <c r="A136" s="40">
        <v>148</v>
      </c>
      <c r="B136" s="64">
        <f t="shared" si="74"/>
        <v>105.78209282219514</v>
      </c>
      <c r="C136" s="64">
        <f t="shared" si="75"/>
        <v>99.152873756618789</v>
      </c>
      <c r="D136" s="116">
        <f t="shared" si="92"/>
        <v>102.46748328940697</v>
      </c>
      <c r="E136" s="65">
        <f t="shared" si="80"/>
        <v>2.9313905210573084</v>
      </c>
      <c r="F136" s="65">
        <f t="shared" si="81"/>
        <v>2.5356220502136262</v>
      </c>
      <c r="G136" s="116">
        <f t="shared" si="93"/>
        <v>2.7335062856354675</v>
      </c>
      <c r="H136" s="65">
        <f t="shared" si="82"/>
        <v>2.8806184316237204</v>
      </c>
      <c r="I136" s="65">
        <f t="shared" si="83"/>
        <v>2.7005812232820605</v>
      </c>
      <c r="J136" s="116">
        <f t="shared" si="94"/>
        <v>2.7905998274528905</v>
      </c>
      <c r="K136" s="66">
        <f t="shared" si="76"/>
        <v>103.50724465107501</v>
      </c>
      <c r="L136" s="66">
        <f t="shared" si="77"/>
        <v>98.056345406322833</v>
      </c>
      <c r="M136" s="66">
        <f t="shared" si="95"/>
        <v>100.78179502869892</v>
      </c>
      <c r="N136" s="69">
        <f t="shared" si="84"/>
        <v>3.0195120989234772</v>
      </c>
      <c r="O136" s="69">
        <f t="shared" si="85"/>
        <v>2.620403589351973</v>
      </c>
      <c r="P136" s="123">
        <f t="shared" si="96"/>
        <v>2.8199578441377251</v>
      </c>
      <c r="Q136" s="69">
        <f t="shared" si="86"/>
        <v>3.0324588221499909</v>
      </c>
      <c r="R136" s="69">
        <f t="shared" si="87"/>
        <v>2.8182941346068997</v>
      </c>
      <c r="S136" s="123">
        <f t="shared" si="97"/>
        <v>2.9253764783784453</v>
      </c>
      <c r="T136" s="67">
        <f t="shared" si="78"/>
        <v>101.2323964799549</v>
      </c>
      <c r="U136" s="67">
        <f t="shared" si="79"/>
        <v>96.959817056026878</v>
      </c>
      <c r="V136" s="119">
        <f t="shared" si="98"/>
        <v>99.096106767990889</v>
      </c>
      <c r="W136" s="68">
        <f t="shared" si="88"/>
        <v>3.107633676789646</v>
      </c>
      <c r="X136" s="68">
        <f t="shared" si="89"/>
        <v>2.7051851284903199</v>
      </c>
      <c r="Y136" s="118">
        <f t="shared" si="99"/>
        <v>2.9064094026399827</v>
      </c>
      <c r="Z136" s="68">
        <f t="shared" si="90"/>
        <v>3.1842992126762613</v>
      </c>
      <c r="AA136" s="68">
        <f t="shared" si="91"/>
        <v>2.9360070459317384</v>
      </c>
      <c r="AB136" s="118">
        <f t="shared" si="100"/>
        <v>3.0601531293040001</v>
      </c>
      <c r="AD136" s="143">
        <f t="shared" si="101"/>
        <v>0.93733136782688597</v>
      </c>
      <c r="AE136" s="143">
        <f t="shared" si="102"/>
        <v>0.9473379929769431</v>
      </c>
      <c r="AF136" s="143">
        <f t="shared" si="103"/>
        <v>0.95779434674576691</v>
      </c>
    </row>
    <row r="137" spans="1:32" x14ac:dyDescent="0.25">
      <c r="A137" s="40">
        <v>149</v>
      </c>
      <c r="B137" s="64">
        <f t="shared" si="74"/>
        <v>106.79744458327079</v>
      </c>
      <c r="C137" s="64">
        <f t="shared" si="75"/>
        <v>100.09031058334716</v>
      </c>
      <c r="D137" s="116">
        <f t="shared" si="92"/>
        <v>103.44387758330897</v>
      </c>
      <c r="E137" s="65">
        <f t="shared" si="80"/>
        <v>2.9370111081417778</v>
      </c>
      <c r="F137" s="65">
        <f t="shared" si="81"/>
        <v>2.5439366445173475</v>
      </c>
      <c r="G137" s="116">
        <f t="shared" si="93"/>
        <v>2.7404738763295624</v>
      </c>
      <c r="H137" s="65">
        <f t="shared" si="82"/>
        <v>2.8926045344426736</v>
      </c>
      <c r="I137" s="65">
        <f t="shared" si="83"/>
        <v>2.7137152840427787</v>
      </c>
      <c r="J137" s="116">
        <f t="shared" si="94"/>
        <v>2.8031599092427264</v>
      </c>
      <c r="K137" s="66">
        <f t="shared" si="76"/>
        <v>104.50181757445338</v>
      </c>
      <c r="L137" s="66">
        <f t="shared" si="77"/>
        <v>98.98506677541701</v>
      </c>
      <c r="M137" s="66">
        <f t="shared" si="95"/>
        <v>101.7434421749352</v>
      </c>
      <c r="N137" s="69">
        <f t="shared" si="84"/>
        <v>3.026526434394853</v>
      </c>
      <c r="O137" s="69">
        <f t="shared" si="85"/>
        <v>2.6295801547770106</v>
      </c>
      <c r="P137" s="123">
        <f t="shared" si="96"/>
        <v>2.8280532945859318</v>
      </c>
      <c r="Q137" s="69">
        <f t="shared" si="86"/>
        <v>3.0462512741351513</v>
      </c>
      <c r="R137" s="69">
        <f t="shared" si="87"/>
        <v>2.8325131955426786</v>
      </c>
      <c r="S137" s="123">
        <f t="shared" si="97"/>
        <v>2.9393822348389147</v>
      </c>
      <c r="T137" s="67">
        <f t="shared" si="78"/>
        <v>102.20619056563596</v>
      </c>
      <c r="U137" s="67">
        <f t="shared" si="79"/>
        <v>97.879822967486859</v>
      </c>
      <c r="V137" s="119">
        <f t="shared" si="98"/>
        <v>100.0430067665614</v>
      </c>
      <c r="W137" s="68">
        <f t="shared" si="88"/>
        <v>3.1160417606479283</v>
      </c>
      <c r="X137" s="68">
        <f t="shared" si="89"/>
        <v>2.7152236650366732</v>
      </c>
      <c r="Y137" s="118">
        <f t="shared" si="99"/>
        <v>2.9156327128423007</v>
      </c>
      <c r="Z137" s="68">
        <f t="shared" si="90"/>
        <v>3.199898013827629</v>
      </c>
      <c r="AA137" s="68">
        <f t="shared" si="91"/>
        <v>2.9513111070425788</v>
      </c>
      <c r="AB137" s="118">
        <f t="shared" si="100"/>
        <v>3.0756045604351039</v>
      </c>
      <c r="AD137" s="143">
        <f t="shared" si="101"/>
        <v>0.93719761717056793</v>
      </c>
      <c r="AE137" s="143">
        <f t="shared" si="102"/>
        <v>0.94720904452110699</v>
      </c>
      <c r="AF137" s="143">
        <f t="shared" si="103"/>
        <v>0.95767020007099524</v>
      </c>
    </row>
    <row r="138" spans="1:32" x14ac:dyDescent="0.25">
      <c r="A138" s="40">
        <v>150</v>
      </c>
      <c r="B138" s="64">
        <f t="shared" si="74"/>
        <v>107.81044026403629</v>
      </c>
      <c r="C138" s="64">
        <f t="shared" si="75"/>
        <v>101.02620013953069</v>
      </c>
      <c r="D138" s="116">
        <f t="shared" si="92"/>
        <v>104.41832020178349</v>
      </c>
      <c r="E138" s="65">
        <f t="shared" si="80"/>
        <v>2.9424186818526579</v>
      </c>
      <c r="F138" s="65">
        <f t="shared" si="81"/>
        <v>2.5521148828206042</v>
      </c>
      <c r="G138" s="116">
        <f t="shared" si="93"/>
        <v>2.7472667823366308</v>
      </c>
      <c r="H138" s="65">
        <f t="shared" si="82"/>
        <v>2.9046705111606546</v>
      </c>
      <c r="I138" s="65">
        <f t="shared" si="83"/>
        <v>2.726940231310949</v>
      </c>
      <c r="J138" s="116">
        <f t="shared" si="94"/>
        <v>2.8158053712358018</v>
      </c>
      <c r="K138" s="66">
        <f t="shared" si="76"/>
        <v>105.49410783227491</v>
      </c>
      <c r="L138" s="66">
        <f t="shared" si="77"/>
        <v>99.912293301351212</v>
      </c>
      <c r="M138" s="66">
        <f t="shared" si="95"/>
        <v>102.70320056681305</v>
      </c>
      <c r="N138" s="69">
        <f t="shared" si="84"/>
        <v>3.0333034263146037</v>
      </c>
      <c r="O138" s="69">
        <f t="shared" si="85"/>
        <v>2.6386097494952914</v>
      </c>
      <c r="P138" s="123">
        <f t="shared" si="96"/>
        <v>2.8359565879049473</v>
      </c>
      <c r="Q138" s="69">
        <f t="shared" si="86"/>
        <v>3.0601146581737506</v>
      </c>
      <c r="R138" s="69">
        <f t="shared" si="87"/>
        <v>2.8468213640839268</v>
      </c>
      <c r="S138" s="123">
        <f t="shared" si="97"/>
        <v>2.9534680111288387</v>
      </c>
      <c r="T138" s="67">
        <f t="shared" si="78"/>
        <v>103.17777540051353</v>
      </c>
      <c r="U138" s="67">
        <f t="shared" si="79"/>
        <v>98.798386463171752</v>
      </c>
      <c r="V138" s="119">
        <f t="shared" si="98"/>
        <v>100.98808093184263</v>
      </c>
      <c r="W138" s="68">
        <f t="shared" si="88"/>
        <v>3.1241881707765495</v>
      </c>
      <c r="X138" s="68">
        <f t="shared" si="89"/>
        <v>2.725104616169979</v>
      </c>
      <c r="Y138" s="118">
        <f t="shared" si="99"/>
        <v>2.9246463934732643</v>
      </c>
      <c r="Z138" s="68">
        <f t="shared" si="90"/>
        <v>3.2155588051868467</v>
      </c>
      <c r="AA138" s="68">
        <f t="shared" si="91"/>
        <v>2.9667024968569051</v>
      </c>
      <c r="AB138" s="118">
        <f t="shared" si="100"/>
        <v>3.0911306510218761</v>
      </c>
      <c r="AD138" s="143">
        <f t="shared" si="101"/>
        <v>0.93707251257029966</v>
      </c>
      <c r="AE138" s="143">
        <f t="shared" si="102"/>
        <v>0.94708885031002654</v>
      </c>
      <c r="AF138" s="143">
        <f t="shared" si="103"/>
        <v>0.95755491993947395</v>
      </c>
    </row>
    <row r="139" spans="1:32" x14ac:dyDescent="0.25">
      <c r="A139" s="40">
        <v>151</v>
      </c>
      <c r="B139" s="64">
        <f t="shared" si="74"/>
        <v>108.82099943397567</v>
      </c>
      <c r="C139" s="64">
        <f t="shared" si="75"/>
        <v>101.96047687796181</v>
      </c>
      <c r="D139" s="116">
        <f t="shared" si="92"/>
        <v>105.39073815596873</v>
      </c>
      <c r="E139" s="65">
        <f t="shared" si="80"/>
        <v>2.9476204898607357</v>
      </c>
      <c r="F139" s="65">
        <f t="shared" si="81"/>
        <v>2.5601588119241949</v>
      </c>
      <c r="G139" s="116">
        <f t="shared" si="93"/>
        <v>2.7538896508924653</v>
      </c>
      <c r="H139" s="65">
        <f t="shared" si="82"/>
        <v>2.9168212783003509</v>
      </c>
      <c r="I139" s="65">
        <f t="shared" si="83"/>
        <v>2.7402574704185847</v>
      </c>
      <c r="J139" s="116">
        <f t="shared" si="94"/>
        <v>2.828539374359468</v>
      </c>
      <c r="K139" s="66">
        <f t="shared" si="76"/>
        <v>106.48403643730961</v>
      </c>
      <c r="L139" s="66">
        <f t="shared" si="77"/>
        <v>100.83795990271113</v>
      </c>
      <c r="M139" s="66">
        <f t="shared" si="95"/>
        <v>103.66099817001037</v>
      </c>
      <c r="N139" s="69">
        <f t="shared" si="84"/>
        <v>3.0398502084765835</v>
      </c>
      <c r="O139" s="69">
        <f t="shared" si="85"/>
        <v>2.6474944597111083</v>
      </c>
      <c r="P139" s="123">
        <f t="shared" si="96"/>
        <v>2.8436723340938457</v>
      </c>
      <c r="Q139" s="69">
        <f t="shared" si="86"/>
        <v>3.0740540209691849</v>
      </c>
      <c r="R139" s="69">
        <f t="shared" si="87"/>
        <v>2.8612201859517903</v>
      </c>
      <c r="S139" s="123">
        <f t="shared" si="97"/>
        <v>2.9676371034604876</v>
      </c>
      <c r="T139" s="67">
        <f t="shared" si="78"/>
        <v>104.14707344064355</v>
      </c>
      <c r="U139" s="67">
        <f t="shared" si="79"/>
        <v>99.715442927460444</v>
      </c>
      <c r="V139" s="119">
        <f t="shared" si="98"/>
        <v>101.931258184052</v>
      </c>
      <c r="W139" s="68">
        <f t="shared" si="88"/>
        <v>3.1320799270924313</v>
      </c>
      <c r="X139" s="68">
        <f t="shared" si="89"/>
        <v>2.7348301074980221</v>
      </c>
      <c r="Y139" s="118">
        <f t="shared" si="99"/>
        <v>2.933455017295227</v>
      </c>
      <c r="Z139" s="68">
        <f t="shared" si="90"/>
        <v>3.2312867636380189</v>
      </c>
      <c r="AA139" s="68">
        <f t="shared" si="91"/>
        <v>2.9821829014849963</v>
      </c>
      <c r="AB139" s="118">
        <f t="shared" si="100"/>
        <v>3.1067348325615076</v>
      </c>
      <c r="AD139" s="143">
        <f t="shared" si="101"/>
        <v>0.93695589461870077</v>
      </c>
      <c r="AE139" s="143">
        <f t="shared" si="102"/>
        <v>0.94697724913985115</v>
      </c>
      <c r="AF139" s="143">
        <f t="shared" si="103"/>
        <v>0.95744834332086326</v>
      </c>
    </row>
    <row r="140" spans="1:32" x14ac:dyDescent="0.25">
      <c r="A140" s="40">
        <v>152</v>
      </c>
      <c r="B140" s="64">
        <f t="shared" si="74"/>
        <v>109.82904364654478</v>
      </c>
      <c r="C140" s="64">
        <f t="shared" si="75"/>
        <v>102.8930766335839</v>
      </c>
      <c r="D140" s="116">
        <f t="shared" si="92"/>
        <v>106.36106014006434</v>
      </c>
      <c r="E140" s="65">
        <f t="shared" si="80"/>
        <v>2.9526236018430256</v>
      </c>
      <c r="F140" s="65">
        <f t="shared" si="81"/>
        <v>2.5680704646520573</v>
      </c>
      <c r="G140" s="116">
        <f t="shared" si="93"/>
        <v>2.7603470332475415</v>
      </c>
      <c r="H140" s="65">
        <f t="shared" si="82"/>
        <v>2.9290616076431437</v>
      </c>
      <c r="I140" s="65">
        <f t="shared" si="83"/>
        <v>2.753668386862294</v>
      </c>
      <c r="J140" s="116">
        <f t="shared" si="94"/>
        <v>2.8413649972527191</v>
      </c>
      <c r="K140" s="66">
        <f t="shared" si="76"/>
        <v>107.47152633884627</v>
      </c>
      <c r="L140" s="66">
        <f t="shared" si="77"/>
        <v>101.76200285628912</v>
      </c>
      <c r="M140" s="66">
        <f t="shared" si="95"/>
        <v>104.61676459756769</v>
      </c>
      <c r="N140" s="69">
        <f t="shared" si="84"/>
        <v>3.0461737735260046</v>
      </c>
      <c r="O140" s="69">
        <f t="shared" si="85"/>
        <v>2.6562363622272698</v>
      </c>
      <c r="P140" s="123">
        <f t="shared" si="96"/>
        <v>2.851205067876637</v>
      </c>
      <c r="Q140" s="69">
        <f t="shared" si="86"/>
        <v>3.0880742828508669</v>
      </c>
      <c r="R140" s="69">
        <f t="shared" si="87"/>
        <v>2.8757111863841911</v>
      </c>
      <c r="S140" s="123">
        <f t="shared" si="97"/>
        <v>2.9818927346175288</v>
      </c>
      <c r="T140" s="67">
        <f t="shared" si="78"/>
        <v>105.11400903114779</v>
      </c>
      <c r="U140" s="67">
        <f t="shared" si="79"/>
        <v>100.63092907899431</v>
      </c>
      <c r="V140" s="119">
        <f t="shared" si="98"/>
        <v>102.87246905507105</v>
      </c>
      <c r="W140" s="68">
        <f t="shared" si="88"/>
        <v>3.1397239452089831</v>
      </c>
      <c r="X140" s="68">
        <f t="shared" si="89"/>
        <v>2.7444022598024822</v>
      </c>
      <c r="Y140" s="118">
        <f t="shared" si="99"/>
        <v>2.9420631025057329</v>
      </c>
      <c r="Z140" s="68">
        <f t="shared" si="90"/>
        <v>3.2470869580585897</v>
      </c>
      <c r="AA140" s="68">
        <f t="shared" si="91"/>
        <v>2.9977539859060882</v>
      </c>
      <c r="AB140" s="118">
        <f t="shared" si="100"/>
        <v>3.122420471982339</v>
      </c>
      <c r="AD140" s="143">
        <f t="shared" si="101"/>
        <v>0.9368476062189669</v>
      </c>
      <c r="AE140" s="143">
        <f t="shared" si="102"/>
        <v>0.94687408212147617</v>
      </c>
      <c r="AF140" s="143">
        <f t="shared" si="103"/>
        <v>0.95735030950227551</v>
      </c>
    </row>
    <row r="141" spans="1:32" x14ac:dyDescent="0.25">
      <c r="A141" s="40">
        <v>153</v>
      </c>
      <c r="B141" s="64">
        <f t="shared" si="74"/>
        <v>110.83449642446033</v>
      </c>
      <c r="C141" s="64">
        <f t="shared" si="75"/>
        <v>103.82393661430683</v>
      </c>
      <c r="D141" s="116">
        <f t="shared" si="92"/>
        <v>107.32921651938358</v>
      </c>
      <c r="E141" s="65">
        <f t="shared" si="80"/>
        <v>2.9574349086505149</v>
      </c>
      <c r="F141" s="65">
        <f t="shared" si="81"/>
        <v>2.5758518590190125</v>
      </c>
      <c r="G141" s="116">
        <f t="shared" si="93"/>
        <v>2.7666433838347637</v>
      </c>
      <c r="H141" s="65">
        <f t="shared" si="82"/>
        <v>2.9413961287985164</v>
      </c>
      <c r="I141" s="65">
        <f t="shared" si="83"/>
        <v>2.7671743466923386</v>
      </c>
      <c r="J141" s="116">
        <f t="shared" si="94"/>
        <v>2.8542852377454278</v>
      </c>
      <c r="K141" s="66">
        <f t="shared" si="76"/>
        <v>108.45650240857742</v>
      </c>
      <c r="L141" s="66">
        <f t="shared" si="77"/>
        <v>102.68435978829942</v>
      </c>
      <c r="M141" s="66">
        <f t="shared" si="95"/>
        <v>105.57043109843842</v>
      </c>
      <c r="N141" s="69">
        <f t="shared" si="84"/>
        <v>3.0522809703602292</v>
      </c>
      <c r="O141" s="69">
        <f t="shared" si="85"/>
        <v>2.6648375233768813</v>
      </c>
      <c r="P141" s="123">
        <f t="shared" si="96"/>
        <v>2.8585592468685554</v>
      </c>
      <c r="Q141" s="69">
        <f t="shared" si="86"/>
        <v>3.1021802392671485</v>
      </c>
      <c r="R141" s="69">
        <f t="shared" si="87"/>
        <v>2.8902958704725807</v>
      </c>
      <c r="S141" s="123">
        <f t="shared" si="97"/>
        <v>2.9962380548698646</v>
      </c>
      <c r="T141" s="67">
        <f t="shared" si="78"/>
        <v>106.07850839269453</v>
      </c>
      <c r="U141" s="67">
        <f t="shared" si="79"/>
        <v>101.544782962292</v>
      </c>
      <c r="V141" s="119">
        <f t="shared" si="98"/>
        <v>103.81164567749326</v>
      </c>
      <c r="W141" s="68">
        <f t="shared" si="88"/>
        <v>3.1471270320699429</v>
      </c>
      <c r="X141" s="68">
        <f t="shared" si="89"/>
        <v>2.7538231877347501</v>
      </c>
      <c r="Y141" s="118">
        <f t="shared" si="99"/>
        <v>2.9504751099023467</v>
      </c>
      <c r="Z141" s="68">
        <f t="shared" si="90"/>
        <v>3.2629643497357805</v>
      </c>
      <c r="AA141" s="68">
        <f t="shared" si="91"/>
        <v>3.0134173942528228</v>
      </c>
      <c r="AB141" s="118">
        <f t="shared" si="100"/>
        <v>3.1381908719943015</v>
      </c>
      <c r="AD141" s="143">
        <f t="shared" si="101"/>
        <v>0.93674749255587975</v>
      </c>
      <c r="AE141" s="143">
        <f t="shared" si="102"/>
        <v>0.94677919265243149</v>
      </c>
      <c r="AF141" s="143">
        <f t="shared" si="103"/>
        <v>0.95726066006114052</v>
      </c>
    </row>
    <row r="142" spans="1:32" x14ac:dyDescent="0.25">
      <c r="A142" s="40">
        <v>154</v>
      </c>
      <c r="B142" s="64">
        <f t="shared" si="74"/>
        <v>111.83728324425583</v>
      </c>
      <c r="C142" s="64">
        <f t="shared" si="75"/>
        <v>104.7529953914225</v>
      </c>
      <c r="D142" s="116">
        <f t="shared" si="92"/>
        <v>108.29513931783916</v>
      </c>
      <c r="E142" s="65">
        <f t="shared" si="80"/>
        <v>2.9620611219556641</v>
      </c>
      <c r="F142" s="65">
        <f t="shared" si="81"/>
        <v>2.5835049974545212</v>
      </c>
      <c r="G142" s="116">
        <f t="shared" si="93"/>
        <v>2.7727830597050929</v>
      </c>
      <c r="H142" s="65">
        <f t="shared" si="82"/>
        <v>2.9538293319009852</v>
      </c>
      <c r="I142" s="65">
        <f t="shared" si="83"/>
        <v>2.7807766969009178</v>
      </c>
      <c r="J142" s="116">
        <f t="shared" si="94"/>
        <v>2.8673030144009513</v>
      </c>
      <c r="K142" s="66">
        <f t="shared" si="76"/>
        <v>109.43889142576211</v>
      </c>
      <c r="L142" s="66">
        <f t="shared" si="77"/>
        <v>103.60496966519614</v>
      </c>
      <c r="M142" s="66">
        <f t="shared" si="95"/>
        <v>106.52193054547912</v>
      </c>
      <c r="N142" s="69">
        <f t="shared" si="84"/>
        <v>3.0581785020199099</v>
      </c>
      <c r="O142" s="69">
        <f t="shared" si="85"/>
        <v>2.6732999980176686</v>
      </c>
      <c r="P142" s="123">
        <f t="shared" si="96"/>
        <v>2.8657392500187893</v>
      </c>
      <c r="Q142" s="69">
        <f t="shared" si="86"/>
        <v>3.1163765624302298</v>
      </c>
      <c r="R142" s="69">
        <f t="shared" si="87"/>
        <v>2.9049757235015603</v>
      </c>
      <c r="S142" s="123">
        <f t="shared" si="97"/>
        <v>3.0106761429658953</v>
      </c>
      <c r="T142" s="67">
        <f t="shared" si="78"/>
        <v>107.04049960726837</v>
      </c>
      <c r="U142" s="67">
        <f t="shared" si="79"/>
        <v>102.45694393896976</v>
      </c>
      <c r="V142" s="119">
        <f t="shared" si="98"/>
        <v>104.74872177311906</v>
      </c>
      <c r="W142" s="68">
        <f t="shared" si="88"/>
        <v>3.1542958820841553</v>
      </c>
      <c r="X142" s="68">
        <f t="shared" si="89"/>
        <v>2.763094998580816</v>
      </c>
      <c r="Y142" s="118">
        <f t="shared" si="99"/>
        <v>2.9586954403324857</v>
      </c>
      <c r="Z142" s="68">
        <f t="shared" si="90"/>
        <v>3.2789237929594743</v>
      </c>
      <c r="AA142" s="68">
        <f t="shared" si="91"/>
        <v>3.0291747501022024</v>
      </c>
      <c r="AB142" s="118">
        <f t="shared" si="100"/>
        <v>3.1540492715308384</v>
      </c>
      <c r="AD142" s="143">
        <f t="shared" si="101"/>
        <v>0.93665540106727163</v>
      </c>
      <c r="AE142" s="143">
        <f t="shared" si="102"/>
        <v>0.94669242638917439</v>
      </c>
      <c r="AF142" s="143">
        <f t="shared" si="103"/>
        <v>0.95717923883842393</v>
      </c>
    </row>
    <row r="143" spans="1:32" x14ac:dyDescent="0.25">
      <c r="A143" s="40">
        <v>155</v>
      </c>
      <c r="B143" s="64">
        <f t="shared" si="74"/>
        <v>112.8373315201386</v>
      </c>
      <c r="C143" s="64">
        <f t="shared" si="75"/>
        <v>105.6801928896386</v>
      </c>
      <c r="D143" s="116">
        <f t="shared" si="92"/>
        <v>109.2587622048886</v>
      </c>
      <c r="E143" s="65">
        <f t="shared" si="80"/>
        <v>2.9665087743442538</v>
      </c>
      <c r="F143" s="65">
        <f t="shared" si="81"/>
        <v>2.5910318660803418</v>
      </c>
      <c r="G143" s="116">
        <f t="shared" si="93"/>
        <v>2.7787703202122978</v>
      </c>
      <c r="H143" s="65">
        <f t="shared" si="82"/>
        <v>2.9663655704277057</v>
      </c>
      <c r="I143" s="65">
        <f t="shared" si="83"/>
        <v>2.7944767658081493</v>
      </c>
      <c r="J143" s="116">
        <f t="shared" si="94"/>
        <v>2.8804211681179277</v>
      </c>
      <c r="K143" s="66">
        <f t="shared" si="76"/>
        <v>110.41862206170131</v>
      </c>
      <c r="L143" s="66">
        <f t="shared" si="77"/>
        <v>104.52377278411163</v>
      </c>
      <c r="M143" s="66">
        <f t="shared" si="95"/>
        <v>107.47119742290647</v>
      </c>
      <c r="N143" s="69">
        <f t="shared" si="84"/>
        <v>3.0638729240405622</v>
      </c>
      <c r="O143" s="69">
        <f t="shared" si="85"/>
        <v>2.6816258285867471</v>
      </c>
      <c r="P143" s="123">
        <f t="shared" si="96"/>
        <v>2.8727493763136547</v>
      </c>
      <c r="Q143" s="69">
        <f t="shared" si="86"/>
        <v>3.1306678031003807</v>
      </c>
      <c r="R143" s="69">
        <f t="shared" si="87"/>
        <v>2.9197522112894259</v>
      </c>
      <c r="S143" s="123">
        <f t="shared" si="97"/>
        <v>3.0252100071949033</v>
      </c>
      <c r="T143" s="67">
        <f t="shared" si="78"/>
        <v>107.99991260326401</v>
      </c>
      <c r="U143" s="67">
        <f t="shared" si="79"/>
        <v>103.36735267858467</v>
      </c>
      <c r="V143" s="119">
        <f t="shared" si="98"/>
        <v>105.68363264092434</v>
      </c>
      <c r="W143" s="68">
        <f t="shared" si="88"/>
        <v>3.1612370737368711</v>
      </c>
      <c r="X143" s="68">
        <f t="shared" si="89"/>
        <v>2.7722197910931525</v>
      </c>
      <c r="Y143" s="118">
        <f t="shared" si="99"/>
        <v>2.9667284324150121</v>
      </c>
      <c r="Z143" s="68">
        <f t="shared" si="90"/>
        <v>3.2949700357730554</v>
      </c>
      <c r="AA143" s="68">
        <f t="shared" si="91"/>
        <v>3.045027656770702</v>
      </c>
      <c r="AB143" s="118">
        <f t="shared" si="100"/>
        <v>3.1699988462718789</v>
      </c>
      <c r="AD143" s="143">
        <f t="shared" si="101"/>
        <v>0.93657118141594276</v>
      </c>
      <c r="AE143" s="143">
        <f t="shared" si="102"/>
        <v>0.94661363121978037</v>
      </c>
      <c r="AF143" s="143">
        <f t="shared" si="103"/>
        <v>0.95710589191218165</v>
      </c>
    </row>
    <row r="144" spans="1:32" x14ac:dyDescent="0.25">
      <c r="A144" s="40">
        <v>156</v>
      </c>
      <c r="B144" s="64">
        <f t="shared" si="74"/>
        <v>113.83457058718534</v>
      </c>
      <c r="C144" s="64">
        <f t="shared" si="75"/>
        <v>106.60547037674819</v>
      </c>
      <c r="D144" s="116">
        <f t="shared" si="92"/>
        <v>110.22002048196677</v>
      </c>
      <c r="E144" s="65">
        <f t="shared" si="80"/>
        <v>2.9707842198173648</v>
      </c>
      <c r="F144" s="65">
        <f t="shared" si="81"/>
        <v>2.5984344340400392</v>
      </c>
      <c r="G144" s="116">
        <f t="shared" si="93"/>
        <v>2.784609326928702</v>
      </c>
      <c r="H144" s="65">
        <f t="shared" si="82"/>
        <v>2.9790090641105431</v>
      </c>
      <c r="I144" s="65">
        <f t="shared" si="83"/>
        <v>2.8082758634462501</v>
      </c>
      <c r="J144" s="116">
        <f t="shared" si="94"/>
        <v>2.8936424637783968</v>
      </c>
      <c r="K144" s="66">
        <f t="shared" ref="K144:K175" si="104">(B144+T144)/2</f>
        <v>111.39562486356132</v>
      </c>
      <c r="L144" s="66">
        <f t="shared" ref="L144:L175" si="105">(C144+U144)/2</f>
        <v>105.44071076293289</v>
      </c>
      <c r="M144" s="66">
        <f t="shared" si="95"/>
        <v>108.41816781324711</v>
      </c>
      <c r="N144" s="69">
        <f t="shared" si="84"/>
        <v>3.0693706432354007</v>
      </c>
      <c r="O144" s="69">
        <f t="shared" si="85"/>
        <v>2.6898170442137461</v>
      </c>
      <c r="P144" s="123">
        <f t="shared" si="96"/>
        <v>2.8795938437245736</v>
      </c>
      <c r="Q144" s="69">
        <f t="shared" si="86"/>
        <v>3.1450583924925839</v>
      </c>
      <c r="R144" s="69">
        <f t="shared" si="87"/>
        <v>2.9346267805301176</v>
      </c>
      <c r="S144" s="123">
        <f t="shared" si="97"/>
        <v>3.0398425865113508</v>
      </c>
      <c r="T144" s="67">
        <f t="shared" si="78"/>
        <v>108.95667913993731</v>
      </c>
      <c r="U144" s="67">
        <f t="shared" si="79"/>
        <v>104.27595114911759</v>
      </c>
      <c r="V144" s="119">
        <f t="shared" si="98"/>
        <v>106.61631514452745</v>
      </c>
      <c r="W144" s="68">
        <f t="shared" si="88"/>
        <v>3.1679570666534365</v>
      </c>
      <c r="X144" s="68">
        <f t="shared" si="89"/>
        <v>2.7811996543874526</v>
      </c>
      <c r="Y144" s="118">
        <f t="shared" si="99"/>
        <v>2.9745783605204448</v>
      </c>
      <c r="Z144" s="68">
        <f t="shared" si="90"/>
        <v>3.3111077208746242</v>
      </c>
      <c r="AA144" s="68">
        <f t="shared" si="91"/>
        <v>3.0609776976139846</v>
      </c>
      <c r="AB144" s="118">
        <f t="shared" si="100"/>
        <v>3.1860427092443047</v>
      </c>
      <c r="AD144" s="143">
        <f t="shared" si="101"/>
        <v>0.93649468546200187</v>
      </c>
      <c r="AE144" s="143">
        <f t="shared" si="102"/>
        <v>0.94654265723701381</v>
      </c>
      <c r="AF144" s="143">
        <f t="shared" si="103"/>
        <v>0.95704046757144579</v>
      </c>
    </row>
    <row r="145" spans="1:32" x14ac:dyDescent="0.25">
      <c r="A145" s="40">
        <v>157</v>
      </c>
      <c r="B145" s="64">
        <f t="shared" si="74"/>
        <v>114.82893168390999</v>
      </c>
      <c r="C145" s="64">
        <f t="shared" si="75"/>
        <v>107.52877045295195</v>
      </c>
      <c r="D145" s="116">
        <f t="shared" si="92"/>
        <v>111.17885106843096</v>
      </c>
      <c r="E145" s="65">
        <f t="shared" ref="E145:E176" si="106" xml:space="preserve"> 3.0763 * (1-EXP(-(EXP(-5.0736)*($B144^1.3308))))</f>
        <v>2.9748936346705523</v>
      </c>
      <c r="F145" s="65">
        <f t="shared" ref="F145:F176" si="107" xml:space="preserve"> 3.1408 * (1-EXP(-(EXP(-3.5347)*($C144^0.8793))))</f>
        <v>2.6057146528783344</v>
      </c>
      <c r="G145" s="116">
        <f t="shared" si="93"/>
        <v>2.7903041437744434</v>
      </c>
      <c r="H145" s="65">
        <f t="shared" ref="H145:H176" si="108">E145/(B145-B144)</f>
        <v>2.9917639019362676</v>
      </c>
      <c r="I145" s="65">
        <f t="shared" ref="I145:I176" si="109">F145/(C145-C144)</f>
        <v>2.822175281942997</v>
      </c>
      <c r="J145" s="116">
        <f t="shared" si="94"/>
        <v>2.9069695919396326</v>
      </c>
      <c r="K145" s="66">
        <f t="shared" si="104"/>
        <v>112.36983223757861</v>
      </c>
      <c r="L145" s="66">
        <f t="shared" si="105"/>
        <v>106.35572653003224</v>
      </c>
      <c r="M145" s="66">
        <f t="shared" si="95"/>
        <v>109.36277938380542</v>
      </c>
      <c r="N145" s="69">
        <f t="shared" ref="N145:N176" si="110">(E145+W145)/2</f>
        <v>3.0746779168810265</v>
      </c>
      <c r="O145" s="69">
        <f t="shared" ref="O145:O176" si="111">(F145+X145)/2</f>
        <v>2.6978756598902676</v>
      </c>
      <c r="P145" s="123">
        <f t="shared" si="96"/>
        <v>2.8862767883856471</v>
      </c>
      <c r="Q145" s="69">
        <f t="shared" ref="Q145:Q176" si="112">(H145+Z145)/2</f>
        <v>3.1595526442949207</v>
      </c>
      <c r="R145" s="69">
        <f t="shared" ref="R145:R176" si="113">(I145+AA145)/2</f>
        <v>2.9496008591363285</v>
      </c>
      <c r="S145" s="123">
        <f t="shared" si="97"/>
        <v>3.0545767517156248</v>
      </c>
      <c r="T145" s="67">
        <f t="shared" si="78"/>
        <v>109.91073279124724</v>
      </c>
      <c r="U145" s="67">
        <f t="shared" si="79"/>
        <v>105.18268260711254</v>
      </c>
      <c r="V145" s="119">
        <f t="shared" si="98"/>
        <v>107.54670769917989</v>
      </c>
      <c r="W145" s="68">
        <f t="shared" ref="W145:W176" si="114" xml:space="preserve"> 3.3719 * (1-EXP(-(EXP(-5.0674)*($T144^1.3026))))</f>
        <v>3.1744621990915012</v>
      </c>
      <c r="X145" s="68">
        <f t="shared" ref="X145:X176" si="115" xml:space="preserve"> 3.4467 * (1-EXP(-(EXP(-3.7929)*($U144^0.925))))</f>
        <v>2.7900366669022012</v>
      </c>
      <c r="Y145" s="118">
        <f t="shared" si="99"/>
        <v>2.9822494329968512</v>
      </c>
      <c r="Z145" s="68">
        <f t="shared" ref="Z145:Z176" si="116">W145/(T145-T144)</f>
        <v>3.3273413866535737</v>
      </c>
      <c r="AA145" s="68">
        <f t="shared" ref="AA145:AA176" si="117">X145/(U145-U144)</f>
        <v>3.0770264363296604</v>
      </c>
      <c r="AB145" s="118">
        <f t="shared" si="100"/>
        <v>3.2021839114916171</v>
      </c>
      <c r="AD145" s="143">
        <f t="shared" si="101"/>
        <v>0.93642576723561954</v>
      </c>
      <c r="AE145" s="143">
        <f t="shared" si="102"/>
        <v>0.94647935671176397</v>
      </c>
      <c r="AF145" s="143">
        <f t="shared" si="103"/>
        <v>0.95698281629042858</v>
      </c>
    </row>
    <row r="146" spans="1:32" x14ac:dyDescent="0.25">
      <c r="A146" s="40">
        <v>158</v>
      </c>
      <c r="B146" s="64">
        <f t="shared" si="74"/>
        <v>115.82034793423895</v>
      </c>
      <c r="C146" s="64">
        <f t="shared" si="75"/>
        <v>108.45003703985127</v>
      </c>
      <c r="D146" s="116">
        <f t="shared" si="92"/>
        <v>112.13519248704512</v>
      </c>
      <c r="E146" s="65">
        <f t="shared" si="106"/>
        <v>2.9788430187185639</v>
      </c>
      <c r="F146" s="65">
        <f t="shared" si="107"/>
        <v>2.6128744559683188</v>
      </c>
      <c r="G146" s="116">
        <f t="shared" si="93"/>
        <v>2.7958587373434414</v>
      </c>
      <c r="H146" s="65">
        <f t="shared" si="108"/>
        <v>3.0046340452157581</v>
      </c>
      <c r="I146" s="65">
        <f t="shared" si="109"/>
        <v>2.8361762958997465</v>
      </c>
      <c r="J146" s="116">
        <f t="shared" si="94"/>
        <v>2.9204051705577525</v>
      </c>
      <c r="K146" s="66">
        <f t="shared" si="104"/>
        <v>113.34117843168016</v>
      </c>
      <c r="L146" s="66">
        <f t="shared" si="105"/>
        <v>107.26876431366993</v>
      </c>
      <c r="M146" s="66">
        <f t="shared" si="95"/>
        <v>110.30497137267506</v>
      </c>
      <c r="N146" s="69">
        <f t="shared" si="110"/>
        <v>3.0798008522784235</v>
      </c>
      <c r="O146" s="69">
        <f t="shared" si="111"/>
        <v>2.7058036756936561</v>
      </c>
      <c r="P146" s="123">
        <f t="shared" si="96"/>
        <v>2.8928022639860398</v>
      </c>
      <c r="Q146" s="69">
        <f t="shared" si="112"/>
        <v>3.1741547567838091</v>
      </c>
      <c r="R146" s="69">
        <f t="shared" si="113"/>
        <v>2.9646758565819056</v>
      </c>
      <c r="S146" s="123">
        <f t="shared" si="97"/>
        <v>3.0694153066828571</v>
      </c>
      <c r="T146" s="67">
        <f t="shared" si="78"/>
        <v>110.86200892912139</v>
      </c>
      <c r="U146" s="67">
        <f t="shared" si="79"/>
        <v>106.0874915874886</v>
      </c>
      <c r="V146" s="119">
        <f t="shared" si="98"/>
        <v>108.47475025830499</v>
      </c>
      <c r="W146" s="68">
        <f t="shared" si="114"/>
        <v>3.1807586858382835</v>
      </c>
      <c r="X146" s="68">
        <f t="shared" si="115"/>
        <v>2.7987328954189929</v>
      </c>
      <c r="Y146" s="118">
        <f t="shared" si="99"/>
        <v>2.9897457906286382</v>
      </c>
      <c r="Z146" s="68">
        <f t="shared" si="116"/>
        <v>3.3436754683518601</v>
      </c>
      <c r="AA146" s="68">
        <f t="shared" si="117"/>
        <v>3.0931754172640642</v>
      </c>
      <c r="AB146" s="118">
        <f t="shared" si="100"/>
        <v>3.2184254428079622</v>
      </c>
      <c r="AD146" s="143">
        <f t="shared" si="101"/>
        <v>0.93636428291018059</v>
      </c>
      <c r="AE146" s="143">
        <f t="shared" si="102"/>
        <v>0.94642358406683968</v>
      </c>
      <c r="AF146" s="143">
        <f t="shared" si="103"/>
        <v>0.95693279070303217</v>
      </c>
    </row>
    <row r="147" spans="1:32" x14ac:dyDescent="0.25">
      <c r="A147" s="40">
        <v>159</v>
      </c>
      <c r="B147" s="64">
        <f t="shared" si="74"/>
        <v>116.80875432892709</v>
      </c>
      <c r="C147" s="64">
        <f t="shared" si="75"/>
        <v>109.36921536912814</v>
      </c>
      <c r="D147" s="116">
        <f t="shared" si="92"/>
        <v>113.08898484902761</v>
      </c>
      <c r="E147" s="65">
        <f t="shared" si="106"/>
        <v>2.9826381968352895</v>
      </c>
      <c r="F147" s="65">
        <f t="shared" si="107"/>
        <v>2.6199157579846073</v>
      </c>
      <c r="G147" s="116">
        <f t="shared" si="93"/>
        <v>2.8012769774099482</v>
      </c>
      <c r="H147" s="65">
        <f t="shared" si="108"/>
        <v>3.0176233307114146</v>
      </c>
      <c r="I147" s="65">
        <f t="shared" si="109"/>
        <v>2.8502801627685423</v>
      </c>
      <c r="J147" s="116">
        <f t="shared" si="94"/>
        <v>2.9339517467399787</v>
      </c>
      <c r="K147" s="66">
        <f t="shared" si="104"/>
        <v>114.30959951755167</v>
      </c>
      <c r="L147" s="66">
        <f t="shared" si="105"/>
        <v>108.17976963108433</v>
      </c>
      <c r="M147" s="66">
        <f t="shared" si="95"/>
        <v>111.244684574318</v>
      </c>
      <c r="N147" s="69">
        <f t="shared" si="110"/>
        <v>3.0847454066625728</v>
      </c>
      <c r="O147" s="69">
        <f t="shared" si="111"/>
        <v>2.7136030760630954</v>
      </c>
      <c r="P147" s="123">
        <f t="shared" si="96"/>
        <v>2.8991742413628341</v>
      </c>
      <c r="Q147" s="69">
        <f t="shared" si="112"/>
        <v>3.1888688150268401</v>
      </c>
      <c r="R147" s="69">
        <f t="shared" si="113"/>
        <v>2.9798531642449122</v>
      </c>
      <c r="S147" s="123">
        <f t="shared" si="97"/>
        <v>3.0843609896358761</v>
      </c>
      <c r="T147" s="67">
        <f t="shared" si="78"/>
        <v>111.81044470617626</v>
      </c>
      <c r="U147" s="67">
        <f t="shared" si="79"/>
        <v>106.99032389304051</v>
      </c>
      <c r="V147" s="119">
        <f t="shared" si="98"/>
        <v>109.40038429960839</v>
      </c>
      <c r="W147" s="68">
        <f t="shared" si="114"/>
        <v>3.1868526164898565</v>
      </c>
      <c r="X147" s="68">
        <f t="shared" si="115"/>
        <v>2.8072903941415839</v>
      </c>
      <c r="Y147" s="118">
        <f t="shared" si="99"/>
        <v>2.99707150531572</v>
      </c>
      <c r="Z147" s="68">
        <f t="shared" si="116"/>
        <v>3.3601142993422659</v>
      </c>
      <c r="AA147" s="68">
        <f t="shared" si="117"/>
        <v>3.1094261657212825</v>
      </c>
      <c r="AB147" s="118">
        <f t="shared" si="100"/>
        <v>3.2347702325317744</v>
      </c>
      <c r="AD147" s="143">
        <f t="shared" si="101"/>
        <v>0.93631009077581961</v>
      </c>
      <c r="AE147" s="143">
        <f t="shared" si="102"/>
        <v>0.94637519585110486</v>
      </c>
      <c r="AF147" s="143">
        <f t="shared" si="103"/>
        <v>0.95689024557766122</v>
      </c>
    </row>
    <row r="148" spans="1:32" x14ac:dyDescent="0.25">
      <c r="A148" s="40">
        <v>160</v>
      </c>
      <c r="B148" s="64">
        <f t="shared" si="74"/>
        <v>117.7940877064474</v>
      </c>
      <c r="C148" s="64">
        <f t="shared" si="75"/>
        <v>110.28625197092843</v>
      </c>
      <c r="D148" s="116">
        <f t="shared" si="92"/>
        <v>114.04016983868792</v>
      </c>
      <c r="E148" s="65">
        <f t="shared" si="106"/>
        <v>2.986284820779991</v>
      </c>
      <c r="F148" s="65">
        <f t="shared" si="107"/>
        <v>2.6268404544205466</v>
      </c>
      <c r="G148" s="116">
        <f t="shared" si="93"/>
        <v>2.806562637600269</v>
      </c>
      <c r="H148" s="65">
        <f t="shared" si="108"/>
        <v>3.030735473810183</v>
      </c>
      <c r="I148" s="65">
        <f t="shared" si="109"/>
        <v>2.8644881232260899</v>
      </c>
      <c r="J148" s="116">
        <f t="shared" si="94"/>
        <v>2.9476117985181363</v>
      </c>
      <c r="K148" s="66">
        <f t="shared" si="104"/>
        <v>115.2750333721861</v>
      </c>
      <c r="L148" s="66">
        <f t="shared" si="105"/>
        <v>109.08868927728621</v>
      </c>
      <c r="M148" s="66">
        <f t="shared" si="95"/>
        <v>112.18186132473616</v>
      </c>
      <c r="N148" s="69">
        <f t="shared" si="110"/>
        <v>3.0895173874349617</v>
      </c>
      <c r="O148" s="69">
        <f t="shared" si="111"/>
        <v>2.7212758291261148</v>
      </c>
      <c r="P148" s="123">
        <f t="shared" si="96"/>
        <v>2.9053966082805385</v>
      </c>
      <c r="Q148" s="69">
        <f t="shared" si="112"/>
        <v>3.2036987931586109</v>
      </c>
      <c r="R148" s="69">
        <f t="shared" si="113"/>
        <v>2.9951341557497351</v>
      </c>
      <c r="S148" s="123">
        <f t="shared" si="97"/>
        <v>3.099416474454173</v>
      </c>
      <c r="T148" s="67">
        <f t="shared" si="78"/>
        <v>112.75597903792479</v>
      </c>
      <c r="U148" s="67">
        <f t="shared" si="79"/>
        <v>107.89112658364398</v>
      </c>
      <c r="V148" s="119">
        <f t="shared" si="98"/>
        <v>110.32355281078438</v>
      </c>
      <c r="W148" s="68">
        <f t="shared" si="114"/>
        <v>3.1927499540899325</v>
      </c>
      <c r="X148" s="68">
        <f t="shared" si="115"/>
        <v>2.8157112038316825</v>
      </c>
      <c r="Y148" s="118">
        <f t="shared" si="99"/>
        <v>3.0042305789608075</v>
      </c>
      <c r="Z148" s="68">
        <f t="shared" si="116"/>
        <v>3.3766621125070388</v>
      </c>
      <c r="AA148" s="68">
        <f t="shared" si="117"/>
        <v>3.1257801882733807</v>
      </c>
      <c r="AB148" s="118">
        <f t="shared" si="100"/>
        <v>3.2512211503902098</v>
      </c>
      <c r="AD148" s="143">
        <f t="shared" si="101"/>
        <v>0.93626305121332476</v>
      </c>
      <c r="AE148" s="143">
        <f t="shared" si="102"/>
        <v>0.94633405071394627</v>
      </c>
      <c r="AF148" s="143">
        <f t="shared" si="103"/>
        <v>0.95685503779232373</v>
      </c>
    </row>
    <row r="149" spans="1:32" x14ac:dyDescent="0.25">
      <c r="A149" s="40">
        <v>161</v>
      </c>
      <c r="B149" s="64">
        <f t="shared" si="74"/>
        <v>118.77628673338697</v>
      </c>
      <c r="C149" s="64">
        <f t="shared" si="75"/>
        <v>111.20109466196521</v>
      </c>
      <c r="D149" s="116">
        <f t="shared" si="92"/>
        <v>114.98869069767609</v>
      </c>
      <c r="E149" s="65">
        <f t="shared" si="106"/>
        <v>2.9897883712822071</v>
      </c>
      <c r="F149" s="65">
        <f t="shared" si="107"/>
        <v>2.6336504211476313</v>
      </c>
      <c r="G149" s="116">
        <f t="shared" si="93"/>
        <v>2.8117193962149192</v>
      </c>
      <c r="H149" s="65">
        <f t="shared" si="108"/>
        <v>3.0439740717297203</v>
      </c>
      <c r="I149" s="65">
        <f t="shared" si="109"/>
        <v>2.8788014015425345</v>
      </c>
      <c r="J149" s="116">
        <f t="shared" si="94"/>
        <v>2.9613877366361274</v>
      </c>
      <c r="K149" s="66">
        <f t="shared" si="104"/>
        <v>116.23741965894406</v>
      </c>
      <c r="L149" s="66">
        <f t="shared" si="105"/>
        <v>109.99547131357303</v>
      </c>
      <c r="M149" s="66">
        <f t="shared" si="95"/>
        <v>113.11644548625856</v>
      </c>
      <c r="N149" s="69">
        <f t="shared" si="110"/>
        <v>3.0941224526941813</v>
      </c>
      <c r="O149" s="69">
        <f t="shared" si="111"/>
        <v>2.7288238860735472</v>
      </c>
      <c r="P149" s="123">
        <f t="shared" si="96"/>
        <v>2.9114731693838642</v>
      </c>
      <c r="Q149" s="69">
        <f t="shared" si="112"/>
        <v>3.2186485567210523</v>
      </c>
      <c r="R149" s="69">
        <f t="shared" si="113"/>
        <v>3.0105201873079537</v>
      </c>
      <c r="S149" s="123">
        <f t="shared" si="97"/>
        <v>3.114584372014503</v>
      </c>
      <c r="T149" s="67">
        <f t="shared" si="78"/>
        <v>113.69855258450116</v>
      </c>
      <c r="U149" s="67">
        <f t="shared" si="79"/>
        <v>108.78984796518084</v>
      </c>
      <c r="V149" s="119">
        <f t="shared" si="98"/>
        <v>111.24420027484101</v>
      </c>
      <c r="W149" s="68">
        <f t="shared" si="114"/>
        <v>3.198456534106155</v>
      </c>
      <c r="X149" s="68">
        <f t="shared" si="115"/>
        <v>2.8239973509994636</v>
      </c>
      <c r="Y149" s="118">
        <f t="shared" si="99"/>
        <v>3.0112269425528093</v>
      </c>
      <c r="Z149" s="68">
        <f t="shared" si="116"/>
        <v>3.3933230417123839</v>
      </c>
      <c r="AA149" s="68">
        <f t="shared" si="117"/>
        <v>3.1422389730733733</v>
      </c>
      <c r="AB149" s="118">
        <f t="shared" si="100"/>
        <v>3.2677810073928786</v>
      </c>
      <c r="AD149" s="143">
        <f t="shared" si="101"/>
        <v>0.93622302666839952</v>
      </c>
      <c r="AE149" s="143">
        <f t="shared" si="102"/>
        <v>0.94630000938006253</v>
      </c>
      <c r="AF149" s="143">
        <f t="shared" si="103"/>
        <v>0.9568270263100126</v>
      </c>
    </row>
    <row r="150" spans="1:32" x14ac:dyDescent="0.25">
      <c r="A150" s="40">
        <v>162</v>
      </c>
      <c r="B150" s="64">
        <f t="shared" si="74"/>
        <v>119.7552918843805</v>
      </c>
      <c r="C150" s="64">
        <f t="shared" si="75"/>
        <v>112.11369253335732</v>
      </c>
      <c r="D150" s="116">
        <f t="shared" si="92"/>
        <v>115.9344922088689</v>
      </c>
      <c r="E150" s="65">
        <f t="shared" si="106"/>
        <v>2.9931541603591039</v>
      </c>
      <c r="F150" s="65">
        <f t="shared" si="107"/>
        <v>2.6403475140153447</v>
      </c>
      <c r="G150" s="116">
        <f t="shared" si="93"/>
        <v>2.8167508371872243</v>
      </c>
      <c r="H150" s="65">
        <f t="shared" si="108"/>
        <v>3.0573426067488447</v>
      </c>
      <c r="I150" s="65">
        <f t="shared" si="109"/>
        <v>2.8932212059487568</v>
      </c>
      <c r="J150" s="116">
        <f t="shared" si="94"/>
        <v>2.9752819063488007</v>
      </c>
      <c r="K150" s="66">
        <f t="shared" si="104"/>
        <v>117.19669980815672</v>
      </c>
      <c r="L150" s="66">
        <f t="shared" si="105"/>
        <v>110.9000650557782</v>
      </c>
      <c r="M150" s="66">
        <f t="shared" si="95"/>
        <v>114.04838243196747</v>
      </c>
      <c r="N150" s="69">
        <f t="shared" si="110"/>
        <v>3.0985661120408201</v>
      </c>
      <c r="O150" s="69">
        <f t="shared" si="111"/>
        <v>2.7362491805811286</v>
      </c>
      <c r="P150" s="123">
        <f t="shared" si="96"/>
        <v>2.9174076463109744</v>
      </c>
      <c r="Q150" s="69">
        <f t="shared" si="112"/>
        <v>3.2337218650580244</v>
      </c>
      <c r="R150" s="69">
        <f t="shared" si="113"/>
        <v>3.0260125980593413</v>
      </c>
      <c r="S150" s="123">
        <f t="shared" si="97"/>
        <v>3.1298672315586828</v>
      </c>
      <c r="T150" s="67">
        <f t="shared" si="78"/>
        <v>114.63810773193293</v>
      </c>
      <c r="U150" s="67">
        <f t="shared" si="79"/>
        <v>109.68643757819908</v>
      </c>
      <c r="V150" s="119">
        <f t="shared" si="98"/>
        <v>112.162272655066</v>
      </c>
      <c r="W150" s="68">
        <f t="shared" si="114"/>
        <v>3.2039780637225368</v>
      </c>
      <c r="X150" s="68">
        <f t="shared" si="115"/>
        <v>2.832150847146913</v>
      </c>
      <c r="Y150" s="118">
        <f t="shared" si="99"/>
        <v>3.0180644554347249</v>
      </c>
      <c r="Z150" s="68">
        <f t="shared" si="116"/>
        <v>3.4101011233672041</v>
      </c>
      <c r="AA150" s="68">
        <f t="shared" si="117"/>
        <v>3.1588039901699259</v>
      </c>
      <c r="AB150" s="118">
        <f t="shared" si="100"/>
        <v>3.284452556768565</v>
      </c>
      <c r="AD150" s="143">
        <f t="shared" si="101"/>
        <v>0.93618988162626782</v>
      </c>
      <c r="AE150" s="143">
        <f t="shared" si="102"/>
        <v>0.94627293462456108</v>
      </c>
      <c r="AF150" s="143">
        <f t="shared" si="103"/>
        <v>0.95680607215435964</v>
      </c>
    </row>
    <row r="151" spans="1:32" x14ac:dyDescent="0.25">
      <c r="A151" s="40">
        <v>163</v>
      </c>
      <c r="B151" s="64">
        <f t="shared" si="74"/>
        <v>120.73104542161239</v>
      </c>
      <c r="C151" s="64">
        <f t="shared" si="75"/>
        <v>113.02399593821917</v>
      </c>
      <c r="D151" s="116">
        <f t="shared" si="92"/>
        <v>116.87752067991579</v>
      </c>
      <c r="E151" s="65">
        <f t="shared" si="106"/>
        <v>2.9963873338403912</v>
      </c>
      <c r="F151" s="65">
        <f t="shared" si="107"/>
        <v>2.6469335684896671</v>
      </c>
      <c r="G151" s="116">
        <f t="shared" si="93"/>
        <v>2.8216604511650294</v>
      </c>
      <c r="H151" s="65">
        <f t="shared" si="108"/>
        <v>3.0708444494506364</v>
      </c>
      <c r="I151" s="65">
        <f t="shared" si="109"/>
        <v>2.907748728998079</v>
      </c>
      <c r="J151" s="116">
        <f t="shared" si="94"/>
        <v>2.9892965892243577</v>
      </c>
      <c r="K151" s="66">
        <f t="shared" si="104"/>
        <v>118.1528169973013</v>
      </c>
      <c r="L151" s="66">
        <f t="shared" si="105"/>
        <v>111.80242106227134</v>
      </c>
      <c r="M151" s="66">
        <f t="shared" si="95"/>
        <v>114.97761902978633</v>
      </c>
      <c r="N151" s="69">
        <f t="shared" si="110"/>
        <v>3.1028537276338364</v>
      </c>
      <c r="O151" s="69">
        <f t="shared" si="111"/>
        <v>2.7435536282758548</v>
      </c>
      <c r="P151" s="123">
        <f t="shared" si="96"/>
        <v>2.9232036779548456</v>
      </c>
      <c r="Q151" s="69">
        <f t="shared" si="112"/>
        <v>3.2489223737534605</v>
      </c>
      <c r="R151" s="69">
        <f t="shared" si="113"/>
        <v>3.0416127104089119</v>
      </c>
      <c r="S151" s="123">
        <f t="shared" si="97"/>
        <v>3.1452675420811862</v>
      </c>
      <c r="T151" s="67">
        <f t="shared" si="78"/>
        <v>115.57458857299021</v>
      </c>
      <c r="U151" s="67">
        <f t="shared" si="79"/>
        <v>110.5808461863235</v>
      </c>
      <c r="V151" s="119">
        <f t="shared" si="98"/>
        <v>113.07771737965686</v>
      </c>
      <c r="W151" s="68">
        <f t="shared" si="114"/>
        <v>3.2093201214272815</v>
      </c>
      <c r="X151" s="68">
        <f t="shared" si="115"/>
        <v>2.840173688062043</v>
      </c>
      <c r="Y151" s="118">
        <f t="shared" si="99"/>
        <v>3.0247469047446622</v>
      </c>
      <c r="Z151" s="68">
        <f t="shared" si="116"/>
        <v>3.427000298056285</v>
      </c>
      <c r="AA151" s="68">
        <f t="shared" si="117"/>
        <v>3.1754766918197448</v>
      </c>
      <c r="AB151" s="118">
        <f t="shared" si="100"/>
        <v>3.3012384949380147</v>
      </c>
      <c r="AD151" s="143">
        <f t="shared" si="101"/>
        <v>0.93616348258661264</v>
      </c>
      <c r="AE151" s="143">
        <f t="shared" si="102"/>
        <v>0.94625269124836009</v>
      </c>
      <c r="AF151" s="143">
        <f t="shared" si="103"/>
        <v>0.95679203838555782</v>
      </c>
    </row>
    <row r="152" spans="1:32" x14ac:dyDescent="0.25">
      <c r="A152" s="40">
        <v>164</v>
      </c>
      <c r="B152" s="64">
        <f t="shared" si="74"/>
        <v>121.70349137391769</v>
      </c>
      <c r="C152" s="64">
        <f t="shared" si="75"/>
        <v>113.93195647901655</v>
      </c>
      <c r="D152" s="116">
        <f t="shared" si="92"/>
        <v>117.81772392646712</v>
      </c>
      <c r="E152" s="65">
        <f t="shared" si="106"/>
        <v>2.9994928740772879</v>
      </c>
      <c r="F152" s="65">
        <f t="shared" si="107"/>
        <v>2.6534103993285512</v>
      </c>
      <c r="G152" s="116">
        <f t="shared" si="93"/>
        <v>2.8264516367029193</v>
      </c>
      <c r="H152" s="65">
        <f t="shared" si="108"/>
        <v>3.0844828619695024</v>
      </c>
      <c r="I152" s="65">
        <f t="shared" si="109"/>
        <v>2.9223851479253842</v>
      </c>
      <c r="J152" s="116">
        <f t="shared" si="94"/>
        <v>3.0034340049474433</v>
      </c>
      <c r="K152" s="66">
        <f t="shared" si="104"/>
        <v>119.10571613077896</v>
      </c>
      <c r="L152" s="66">
        <f t="shared" si="105"/>
        <v>112.7024911217234</v>
      </c>
      <c r="M152" s="66">
        <f t="shared" si="95"/>
        <v>115.90410362625119</v>
      </c>
      <c r="N152" s="69">
        <f t="shared" si="110"/>
        <v>3.1069905154765891</v>
      </c>
      <c r="O152" s="69">
        <f t="shared" si="111"/>
        <v>2.750739126245338</v>
      </c>
      <c r="P152" s="123">
        <f t="shared" si="96"/>
        <v>2.9288648208609636</v>
      </c>
      <c r="Q152" s="69">
        <f t="shared" si="112"/>
        <v>3.2642536371050204</v>
      </c>
      <c r="R152" s="69">
        <f t="shared" si="113"/>
        <v>3.0573218303652636</v>
      </c>
      <c r="S152" s="123">
        <f t="shared" si="97"/>
        <v>3.160787733735142</v>
      </c>
      <c r="T152" s="67">
        <f t="shared" si="78"/>
        <v>116.50794088764023</v>
      </c>
      <c r="U152" s="67">
        <f t="shared" si="79"/>
        <v>111.47302576443023</v>
      </c>
      <c r="V152" s="119">
        <f t="shared" si="98"/>
        <v>113.99048332603523</v>
      </c>
      <c r="W152" s="68">
        <f t="shared" si="114"/>
        <v>3.2144881568758898</v>
      </c>
      <c r="X152" s="68">
        <f t="shared" si="115"/>
        <v>2.8480678531621249</v>
      </c>
      <c r="Y152" s="118">
        <f t="shared" si="99"/>
        <v>3.0312780050190073</v>
      </c>
      <c r="Z152" s="68">
        <f t="shared" si="116"/>
        <v>3.4440244122405379</v>
      </c>
      <c r="AA152" s="68">
        <f t="shared" si="117"/>
        <v>3.1922585128051435</v>
      </c>
      <c r="AB152" s="118">
        <f t="shared" si="100"/>
        <v>3.3181414625228407</v>
      </c>
      <c r="AD152" s="143">
        <f t="shared" si="101"/>
        <v>0.93614369803883324</v>
      </c>
      <c r="AE152" s="143">
        <f t="shared" si="102"/>
        <v>0.94623914605387394</v>
      </c>
      <c r="AF152" s="143">
        <f t="shared" si="103"/>
        <v>0.95678479007653516</v>
      </c>
    </row>
    <row r="153" spans="1:32" x14ac:dyDescent="0.25">
      <c r="A153" s="40">
        <v>165</v>
      </c>
      <c r="B153" s="64">
        <f t="shared" si="74"/>
        <v>122.67257551551086</v>
      </c>
      <c r="C153" s="64">
        <f t="shared" si="75"/>
        <v>114.83752699470372</v>
      </c>
      <c r="D153" s="116">
        <f t="shared" si="92"/>
        <v>118.75505125510729</v>
      </c>
      <c r="E153" s="65">
        <f t="shared" si="106"/>
        <v>3.0024756028133233</v>
      </c>
      <c r="F153" s="65">
        <f t="shared" si="107"/>
        <v>2.6597798002927071</v>
      </c>
      <c r="G153" s="116">
        <f t="shared" si="93"/>
        <v>2.8311277015530152</v>
      </c>
      <c r="H153" s="65">
        <f t="shared" si="108"/>
        <v>3.0982610012349001</v>
      </c>
      <c r="I153" s="65">
        <f t="shared" si="109"/>
        <v>2.9371316250003869</v>
      </c>
      <c r="J153" s="116">
        <f t="shared" si="94"/>
        <v>3.0176963131176437</v>
      </c>
      <c r="K153" s="66">
        <f t="shared" si="104"/>
        <v>120.05534381932326</v>
      </c>
      <c r="L153" s="66">
        <f t="shared" si="105"/>
        <v>113.60022824065211</v>
      </c>
      <c r="M153" s="66">
        <f t="shared" si="95"/>
        <v>116.82778602998769</v>
      </c>
      <c r="N153" s="69">
        <f t="shared" si="110"/>
        <v>3.1109815469117361</v>
      </c>
      <c r="O153" s="69">
        <f t="shared" si="111"/>
        <v>2.7578075525883921</v>
      </c>
      <c r="P153" s="123">
        <f t="shared" si="96"/>
        <v>2.9343945497500643</v>
      </c>
      <c r="Q153" s="69">
        <f t="shared" si="112"/>
        <v>3.2797191106250505</v>
      </c>
      <c r="R153" s="69">
        <f t="shared" si="113"/>
        <v>3.0731412478738873</v>
      </c>
      <c r="S153" s="123">
        <f t="shared" si="97"/>
        <v>3.1764301792494689</v>
      </c>
      <c r="T153" s="67">
        <f t="shared" si="78"/>
        <v>117.43811212313565</v>
      </c>
      <c r="U153" s="67">
        <f t="shared" si="79"/>
        <v>112.36292948660051</v>
      </c>
      <c r="V153" s="119">
        <f t="shared" si="98"/>
        <v>114.90052080486808</v>
      </c>
      <c r="W153" s="68">
        <f t="shared" si="114"/>
        <v>3.2194874910101494</v>
      </c>
      <c r="X153" s="68">
        <f t="shared" si="115"/>
        <v>2.855835304884077</v>
      </c>
      <c r="Y153" s="118">
        <f t="shared" si="99"/>
        <v>3.0376613979471134</v>
      </c>
      <c r="Z153" s="68">
        <f t="shared" si="116"/>
        <v>3.4611772200152013</v>
      </c>
      <c r="AA153" s="68">
        <f t="shared" si="117"/>
        <v>3.2091508707473881</v>
      </c>
      <c r="AB153" s="118">
        <f t="shared" si="100"/>
        <v>3.335164045381295</v>
      </c>
      <c r="AD153" s="143">
        <f t="shared" si="101"/>
        <v>0.93613039843761603</v>
      </c>
      <c r="AE153" s="143">
        <f t="shared" si="102"/>
        <v>0.94623216782098651</v>
      </c>
      <c r="AF153" s="143">
        <f t="shared" si="103"/>
        <v>0.95678419428938244</v>
      </c>
    </row>
    <row r="154" spans="1:32" x14ac:dyDescent="0.25">
      <c r="A154" s="40">
        <v>166</v>
      </c>
      <c r="B154" s="64">
        <f t="shared" si="74"/>
        <v>123.63824534437136</v>
      </c>
      <c r="C154" s="64">
        <f t="shared" si="75"/>
        <v>115.740661547656</v>
      </c>
      <c r="D154" s="116">
        <f t="shared" si="92"/>
        <v>119.68945344601369</v>
      </c>
      <c r="E154" s="65">
        <f t="shared" si="106"/>
        <v>3.0053401841960836</v>
      </c>
      <c r="F154" s="65">
        <f t="shared" si="107"/>
        <v>2.6660435438900945</v>
      </c>
      <c r="G154" s="116">
        <f t="shared" si="93"/>
        <v>2.8356918640430893</v>
      </c>
      <c r="H154" s="65">
        <f t="shared" si="108"/>
        <v>3.1121819222025602</v>
      </c>
      <c r="I154" s="65">
        <f t="shared" si="109"/>
        <v>2.9519893078777604</v>
      </c>
      <c r="J154" s="116">
        <f t="shared" si="94"/>
        <v>3.0320856150401605</v>
      </c>
      <c r="K154" s="66">
        <f t="shared" si="104"/>
        <v>121.00164835906747</v>
      </c>
      <c r="L154" s="66">
        <f t="shared" si="105"/>
        <v>114.49558663076161</v>
      </c>
      <c r="M154" s="66">
        <f t="shared" si="95"/>
        <v>117.74861749491454</v>
      </c>
      <c r="N154" s="69">
        <f t="shared" si="110"/>
        <v>3.1148317503051954</v>
      </c>
      <c r="O154" s="69">
        <f t="shared" si="111"/>
        <v>2.764760766005149</v>
      </c>
      <c r="P154" s="123">
        <f t="shared" si="96"/>
        <v>2.9397962581551722</v>
      </c>
      <c r="Q154" s="69">
        <f t="shared" si="112"/>
        <v>3.2953221535607886</v>
      </c>
      <c r="R154" s="69">
        <f t="shared" si="113"/>
        <v>3.0890722371495549</v>
      </c>
      <c r="S154" s="123">
        <f t="shared" si="97"/>
        <v>3.1921971953551718</v>
      </c>
      <c r="T154" s="67">
        <f t="shared" si="78"/>
        <v>118.36505137376359</v>
      </c>
      <c r="U154" s="67">
        <f t="shared" si="79"/>
        <v>113.2505117138672</v>
      </c>
      <c r="V154" s="119">
        <f t="shared" si="98"/>
        <v>115.80778154381539</v>
      </c>
      <c r="W154" s="68">
        <f t="shared" si="114"/>
        <v>3.2243233164143068</v>
      </c>
      <c r="X154" s="68">
        <f t="shared" si="115"/>
        <v>2.863477988120203</v>
      </c>
      <c r="Y154" s="118">
        <f t="shared" si="99"/>
        <v>3.0439006522672551</v>
      </c>
      <c r="Z154" s="68">
        <f t="shared" si="116"/>
        <v>3.4784623849190175</v>
      </c>
      <c r="AA154" s="68">
        <f t="shared" si="117"/>
        <v>3.2261551664213495</v>
      </c>
      <c r="AB154" s="118">
        <f t="shared" si="100"/>
        <v>3.3523087756701835</v>
      </c>
      <c r="AD154" s="143">
        <f t="shared" si="101"/>
        <v>0.93612345617880532</v>
      </c>
      <c r="AE154" s="143">
        <f t="shared" si="102"/>
        <v>0.94623162728329624</v>
      </c>
      <c r="AF154" s="143">
        <f t="shared" si="103"/>
        <v>0.95679012005202346</v>
      </c>
    </row>
    <row r="155" spans="1:32" x14ac:dyDescent="0.25">
      <c r="A155" s="40">
        <v>167</v>
      </c>
      <c r="B155" s="64">
        <f t="shared" si="74"/>
        <v>124.600450060314</v>
      </c>
      <c r="C155" s="64">
        <f t="shared" si="75"/>
        <v>116.64131541041193</v>
      </c>
      <c r="D155" s="116">
        <f t="shared" si="92"/>
        <v>120.62088273536297</v>
      </c>
      <c r="E155" s="65">
        <f t="shared" si="106"/>
        <v>3.0080911279102951</v>
      </c>
      <c r="F155" s="65">
        <f t="shared" si="107"/>
        <v>2.6722033811525483</v>
      </c>
      <c r="G155" s="116">
        <f t="shared" si="93"/>
        <v>2.8401472545314217</v>
      </c>
      <c r="H155" s="65">
        <f t="shared" si="108"/>
        <v>3.126248581065564</v>
      </c>
      <c r="I155" s="65">
        <f t="shared" si="109"/>
        <v>2.9669593299425969</v>
      </c>
      <c r="J155" s="116">
        <f t="shared" si="94"/>
        <v>3.0466039555040805</v>
      </c>
      <c r="K155" s="66">
        <f t="shared" si="104"/>
        <v>121.94457971029809</v>
      </c>
      <c r="L155" s="66">
        <f t="shared" si="105"/>
        <v>115.38852169608973</v>
      </c>
      <c r="M155" s="66">
        <f t="shared" si="95"/>
        <v>118.66655070319391</v>
      </c>
      <c r="N155" s="69">
        <f t="shared" si="110"/>
        <v>3.1185459129003541</v>
      </c>
      <c r="O155" s="69">
        <f t="shared" si="111"/>
        <v>2.7716006054250348</v>
      </c>
      <c r="P155" s="123">
        <f t="shared" si="96"/>
        <v>2.9450732591626947</v>
      </c>
      <c r="Q155" s="69">
        <f t="shared" si="112"/>
        <v>3.3110660314259999</v>
      </c>
      <c r="R155" s="69">
        <f t="shared" si="113"/>
        <v>3.1051160570065242</v>
      </c>
      <c r="S155" s="123">
        <f t="shared" si="97"/>
        <v>3.2080910442162622</v>
      </c>
      <c r="T155" s="67">
        <f t="shared" si="78"/>
        <v>119.28870936028217</v>
      </c>
      <c r="U155" s="67">
        <f t="shared" si="79"/>
        <v>114.13572798176752</v>
      </c>
      <c r="V155" s="119">
        <f t="shared" si="98"/>
        <v>116.71221867102484</v>
      </c>
      <c r="W155" s="68">
        <f t="shared" si="114"/>
        <v>3.2290006978904131</v>
      </c>
      <c r="X155" s="68">
        <f t="shared" si="115"/>
        <v>2.8709978296975209</v>
      </c>
      <c r="Y155" s="118">
        <f t="shared" si="99"/>
        <v>3.0499992637939668</v>
      </c>
      <c r="Z155" s="68">
        <f t="shared" si="116"/>
        <v>3.4958834817864357</v>
      </c>
      <c r="AA155" s="68">
        <f t="shared" si="117"/>
        <v>3.2432727840704514</v>
      </c>
      <c r="AB155" s="118">
        <f t="shared" si="100"/>
        <v>3.3695781329284435</v>
      </c>
      <c r="AD155" s="143">
        <f t="shared" si="101"/>
        <v>0.93612274557556274</v>
      </c>
      <c r="AE155" s="143">
        <f t="shared" si="102"/>
        <v>0.9462373971046234</v>
      </c>
      <c r="AF155" s="143">
        <f t="shared" si="103"/>
        <v>0.95680243833512069</v>
      </c>
    </row>
    <row r="156" spans="1:32" x14ac:dyDescent="0.25">
      <c r="A156" s="40">
        <v>168</v>
      </c>
      <c r="B156" s="64">
        <f t="shared" si="74"/>
        <v>125.55914054277078</v>
      </c>
      <c r="C156" s="64">
        <f t="shared" si="75"/>
        <v>117.53944505223912</v>
      </c>
      <c r="D156" s="116">
        <f t="shared" si="92"/>
        <v>121.54929279750495</v>
      </c>
      <c r="E156" s="65">
        <f t="shared" si="106"/>
        <v>3.0107327924138501</v>
      </c>
      <c r="F156" s="65">
        <f t="shared" si="107"/>
        <v>2.678261041443029</v>
      </c>
      <c r="G156" s="116">
        <f t="shared" si="93"/>
        <v>2.8444969169284393</v>
      </c>
      <c r="H156" s="65">
        <f t="shared" si="108"/>
        <v>3.1404638384418302</v>
      </c>
      <c r="I156" s="65">
        <f t="shared" si="109"/>
        <v>2.9820428106506904</v>
      </c>
      <c r="J156" s="116">
        <f t="shared" si="94"/>
        <v>3.0612533245462603</v>
      </c>
      <c r="K156" s="66">
        <f t="shared" si="104"/>
        <v>122.88408947592075</v>
      </c>
      <c r="L156" s="66">
        <f t="shared" si="105"/>
        <v>116.27899001997731</v>
      </c>
      <c r="M156" s="66">
        <f t="shared" si="95"/>
        <v>119.58153974794902</v>
      </c>
      <c r="N156" s="69">
        <f t="shared" si="110"/>
        <v>3.1221286828247212</v>
      </c>
      <c r="O156" s="69">
        <f t="shared" si="111"/>
        <v>2.7783288896709695</v>
      </c>
      <c r="P156" s="123">
        <f t="shared" si="96"/>
        <v>2.9502287862478456</v>
      </c>
      <c r="Q156" s="69">
        <f t="shared" si="112"/>
        <v>3.3269539185384529</v>
      </c>
      <c r="R156" s="69">
        <f t="shared" si="113"/>
        <v>3.1212739511849952</v>
      </c>
      <c r="S156" s="123">
        <f t="shared" si="97"/>
        <v>3.224113934861724</v>
      </c>
      <c r="T156" s="67">
        <f t="shared" si="78"/>
        <v>120.2090384090707</v>
      </c>
      <c r="U156" s="67">
        <f t="shared" si="79"/>
        <v>115.01853498771551</v>
      </c>
      <c r="V156" s="119">
        <f t="shared" si="98"/>
        <v>117.61378669839311</v>
      </c>
      <c r="W156" s="68">
        <f t="shared" si="114"/>
        <v>3.2335245732355928</v>
      </c>
      <c r="X156" s="68">
        <f t="shared" si="115"/>
        <v>2.8783967378989099</v>
      </c>
      <c r="Y156" s="118">
        <f t="shared" si="99"/>
        <v>3.0559606555672514</v>
      </c>
      <c r="Z156" s="68">
        <f t="shared" si="116"/>
        <v>3.5134439986350761</v>
      </c>
      <c r="AA156" s="68">
        <f t="shared" si="117"/>
        <v>3.2605050917192999</v>
      </c>
      <c r="AB156" s="118">
        <f t="shared" si="100"/>
        <v>3.3869745451771882</v>
      </c>
      <c r="AD156" s="143">
        <f t="shared" si="101"/>
        <v>0.93612814283481172</v>
      </c>
      <c r="AE156" s="143">
        <f t="shared" si="102"/>
        <v>0.94624935185577697</v>
      </c>
      <c r="AF156" s="143">
        <f t="shared" si="103"/>
        <v>0.95682102202920938</v>
      </c>
    </row>
    <row r="157" spans="1:32" x14ac:dyDescent="0.25">
      <c r="A157" s="40">
        <v>169</v>
      </c>
      <c r="B157" s="64">
        <f t="shared" si="74"/>
        <v>126.51426932831103</v>
      </c>
      <c r="C157" s="64">
        <f t="shared" si="75"/>
        <v>118.43500812553725</v>
      </c>
      <c r="D157" s="116">
        <f t="shared" si="92"/>
        <v>122.47463872692414</v>
      </c>
      <c r="E157" s="65">
        <f t="shared" si="106"/>
        <v>3.013269388259634</v>
      </c>
      <c r="F157" s="65">
        <f t="shared" si="107"/>
        <v>2.6842182322920154</v>
      </c>
      <c r="G157" s="116">
        <f t="shared" si="93"/>
        <v>2.8487438102758249</v>
      </c>
      <c r="H157" s="65">
        <f t="shared" si="108"/>
        <v>3.1548304625278631</v>
      </c>
      <c r="I157" s="65">
        <f t="shared" si="109"/>
        <v>2.9972408558636872</v>
      </c>
      <c r="J157" s="116">
        <f t="shared" si="94"/>
        <v>3.0760356591957754</v>
      </c>
      <c r="K157" s="66">
        <f t="shared" si="104"/>
        <v>123.82013087966449</v>
      </c>
      <c r="L157" s="66">
        <f t="shared" si="105"/>
        <v>117.16694935187235</v>
      </c>
      <c r="M157" s="66">
        <f t="shared" si="95"/>
        <v>120.49354011576841</v>
      </c>
      <c r="N157" s="69">
        <f t="shared" si="110"/>
        <v>3.1255845712321646</v>
      </c>
      <c r="O157" s="69">
        <f t="shared" si="111"/>
        <v>2.7849474171582242</v>
      </c>
      <c r="P157" s="123">
        <f t="shared" si="96"/>
        <v>2.9552659941951944</v>
      </c>
      <c r="Q157" s="69">
        <f t="shared" si="112"/>
        <v>3.3429889005568993</v>
      </c>
      <c r="R157" s="69">
        <f t="shared" si="113"/>
        <v>3.1375471486742601</v>
      </c>
      <c r="S157" s="123">
        <f t="shared" si="97"/>
        <v>3.2402680246155797</v>
      </c>
      <c r="T157" s="67">
        <f t="shared" si="78"/>
        <v>121.12599243101795</v>
      </c>
      <c r="U157" s="67">
        <f t="shared" si="79"/>
        <v>115.89889057820746</v>
      </c>
      <c r="V157" s="119">
        <f t="shared" si="98"/>
        <v>118.5124415046127</v>
      </c>
      <c r="W157" s="68">
        <f t="shared" si="114"/>
        <v>3.2378997542046948</v>
      </c>
      <c r="X157" s="68">
        <f t="shared" si="115"/>
        <v>2.8856766020244335</v>
      </c>
      <c r="Y157" s="118">
        <f t="shared" si="99"/>
        <v>3.0617881781145639</v>
      </c>
      <c r="Z157" s="68">
        <f t="shared" si="116"/>
        <v>3.531147338585936</v>
      </c>
      <c r="AA157" s="68">
        <f t="shared" si="117"/>
        <v>3.2778534414848326</v>
      </c>
      <c r="AB157" s="118">
        <f t="shared" si="100"/>
        <v>3.4045003900353841</v>
      </c>
      <c r="AD157" s="143">
        <f t="shared" si="101"/>
        <v>0.93613952603395523</v>
      </c>
      <c r="AE157" s="143">
        <f t="shared" si="102"/>
        <v>0.94626736799157407</v>
      </c>
      <c r="AF157" s="143">
        <f t="shared" si="103"/>
        <v>0.9568457459220624</v>
      </c>
    </row>
    <row r="158" spans="1:32" x14ac:dyDescent="0.25">
      <c r="A158" s="40">
        <v>170</v>
      </c>
      <c r="B158" s="64">
        <f t="shared" si="74"/>
        <v>127.46579058792531</v>
      </c>
      <c r="C158" s="64">
        <f t="shared" si="75"/>
        <v>119.32796345209093</v>
      </c>
      <c r="D158" s="116">
        <f t="shared" si="92"/>
        <v>123.39687702000812</v>
      </c>
      <c r="E158" s="65">
        <f t="shared" si="106"/>
        <v>3.0157049814871475</v>
      </c>
      <c r="F158" s="65">
        <f t="shared" si="107"/>
        <v>2.6900766392616373</v>
      </c>
      <c r="G158" s="116">
        <f t="shared" si="93"/>
        <v>2.8528908103743924</v>
      </c>
      <c r="H158" s="65">
        <f t="shared" si="108"/>
        <v>3.169351132217082</v>
      </c>
      <c r="I158" s="65">
        <f t="shared" si="109"/>
        <v>3.0125545581814022</v>
      </c>
      <c r="J158" s="116">
        <f t="shared" si="94"/>
        <v>3.0909528451992418</v>
      </c>
      <c r="K158" s="66">
        <f t="shared" si="104"/>
        <v>124.75265874404971</v>
      </c>
      <c r="L158" s="66">
        <f t="shared" si="105"/>
        <v>118.05235859398154</v>
      </c>
      <c r="M158" s="66">
        <f t="shared" si="95"/>
        <v>121.40250866901562</v>
      </c>
      <c r="N158" s="69">
        <f t="shared" si="110"/>
        <v>3.1289179545648267</v>
      </c>
      <c r="O158" s="69">
        <f t="shared" si="111"/>
        <v>2.791457965626388</v>
      </c>
      <c r="P158" s="123">
        <f t="shared" si="96"/>
        <v>2.9601879600956074</v>
      </c>
      <c r="Q158" s="69">
        <f t="shared" si="112"/>
        <v>3.3591739770099034</v>
      </c>
      <c r="R158" s="69">
        <f t="shared" si="113"/>
        <v>3.1539368640348542</v>
      </c>
      <c r="S158" s="123">
        <f t="shared" si="97"/>
        <v>3.2565554205223788</v>
      </c>
      <c r="T158" s="67">
        <f t="shared" si="78"/>
        <v>122.03952690017412</v>
      </c>
      <c r="U158" s="67">
        <f t="shared" si="79"/>
        <v>116.77675373587215</v>
      </c>
      <c r="V158" s="119">
        <f t="shared" si="98"/>
        <v>119.40814031802313</v>
      </c>
      <c r="W158" s="68">
        <f t="shared" si="114"/>
        <v>3.2421309276425059</v>
      </c>
      <c r="X158" s="68">
        <f t="shared" si="115"/>
        <v>2.8928392919911388</v>
      </c>
      <c r="Y158" s="118">
        <f t="shared" si="99"/>
        <v>3.0674851098168223</v>
      </c>
      <c r="Z158" s="68">
        <f t="shared" si="116"/>
        <v>3.5489968218027244</v>
      </c>
      <c r="AA158" s="68">
        <f t="shared" si="117"/>
        <v>3.2953191698883062</v>
      </c>
      <c r="AB158" s="118">
        <f t="shared" si="100"/>
        <v>3.4221579958455153</v>
      </c>
      <c r="AD158" s="143">
        <f t="shared" si="101"/>
        <v>0.936156775097857</v>
      </c>
      <c r="AE158" s="143">
        <f t="shared" si="102"/>
        <v>0.94629132382809633</v>
      </c>
      <c r="AF158" s="143">
        <f t="shared" si="103"/>
        <v>0.95687648667626501</v>
      </c>
    </row>
    <row r="159" spans="1:32" x14ac:dyDescent="0.25">
      <c r="A159" s="40">
        <v>171</v>
      </c>
      <c r="B159" s="64">
        <f t="shared" si="74"/>
        <v>128.41366010409772</v>
      </c>
      <c r="C159" s="64">
        <f t="shared" si="75"/>
        <v>120.21827100918574</v>
      </c>
      <c r="D159" s="116">
        <f t="shared" si="92"/>
        <v>124.31596555664173</v>
      </c>
      <c r="E159" s="65">
        <f t="shared" si="106"/>
        <v>3.0180434970690664</v>
      </c>
      <c r="F159" s="65">
        <f t="shared" si="107"/>
        <v>2.6958379258361442</v>
      </c>
      <c r="G159" s="116">
        <f t="shared" si="93"/>
        <v>2.8569407114526051</v>
      </c>
      <c r="H159" s="65">
        <f t="shared" si="108"/>
        <v>3.1840284401762839</v>
      </c>
      <c r="I159" s="65">
        <f t="shared" si="109"/>
        <v>3.0279849972665644</v>
      </c>
      <c r="J159" s="116">
        <f t="shared" si="94"/>
        <v>3.1060067187214244</v>
      </c>
      <c r="K159" s="66">
        <f t="shared" si="104"/>
        <v>125.68162946814351</v>
      </c>
      <c r="L159" s="66">
        <f t="shared" si="105"/>
        <v>118.93517778778262</v>
      </c>
      <c r="M159" s="66">
        <f t="shared" si="95"/>
        <v>122.30840362796306</v>
      </c>
      <c r="N159" s="69">
        <f t="shared" si="110"/>
        <v>3.1321330769197697</v>
      </c>
      <c r="O159" s="69">
        <f t="shared" si="111"/>
        <v>2.7978622919029439</v>
      </c>
      <c r="P159" s="123">
        <f t="shared" si="96"/>
        <v>2.9649976844113568</v>
      </c>
      <c r="Q159" s="69">
        <f t="shared" si="112"/>
        <v>3.3755120638148277</v>
      </c>
      <c r="R159" s="69">
        <f t="shared" si="113"/>
        <v>3.1704442977141718</v>
      </c>
      <c r="S159" s="123">
        <f t="shared" si="97"/>
        <v>3.2729781807644995</v>
      </c>
      <c r="T159" s="67">
        <f t="shared" si="78"/>
        <v>122.9495988321893</v>
      </c>
      <c r="U159" s="67">
        <f t="shared" si="79"/>
        <v>117.6520845663795</v>
      </c>
      <c r="V159" s="119">
        <f t="shared" si="98"/>
        <v>120.3008416992844</v>
      </c>
      <c r="W159" s="68">
        <f t="shared" si="114"/>
        <v>3.2462226567704731</v>
      </c>
      <c r="X159" s="68">
        <f t="shared" si="115"/>
        <v>2.899886657969744</v>
      </c>
      <c r="Y159" s="118">
        <f t="shared" si="99"/>
        <v>3.0730546573701085</v>
      </c>
      <c r="Z159" s="68">
        <f t="shared" si="116"/>
        <v>3.5669956874533715</v>
      </c>
      <c r="AA159" s="68">
        <f t="shared" si="117"/>
        <v>3.3129035981617792</v>
      </c>
      <c r="AB159" s="118">
        <f t="shared" si="100"/>
        <v>3.4399496428075755</v>
      </c>
      <c r="AD159" s="143">
        <f t="shared" si="101"/>
        <v>0.93617977177608336</v>
      </c>
      <c r="AE159" s="143">
        <f t="shared" si="102"/>
        <v>0.9463210995201895</v>
      </c>
      <c r="AF159" s="143">
        <f t="shared" si="103"/>
        <v>0.95691312280701102</v>
      </c>
    </row>
    <row r="160" spans="1:32" x14ac:dyDescent="0.25">
      <c r="A160" s="40">
        <v>172</v>
      </c>
      <c r="B160" s="64">
        <f t="shared" si="74"/>
        <v>129.35783524769136</v>
      </c>
      <c r="C160" s="64">
        <f t="shared" si="75"/>
        <v>121.10589191559974</v>
      </c>
      <c r="D160" s="116">
        <f t="shared" si="92"/>
        <v>125.23186358164554</v>
      </c>
      <c r="E160" s="65">
        <f t="shared" si="106"/>
        <v>3.0202887223989738</v>
      </c>
      <c r="F160" s="65">
        <f t="shared" si="107"/>
        <v>2.7015037333373839</v>
      </c>
      <c r="G160" s="116">
        <f t="shared" si="93"/>
        <v>2.8608962278681789</v>
      </c>
      <c r="H160" s="65">
        <f t="shared" si="108"/>
        <v>3.1988648958745154</v>
      </c>
      <c r="I160" s="65">
        <f t="shared" si="109"/>
        <v>3.0435332401661137</v>
      </c>
      <c r="J160" s="116">
        <f t="shared" si="94"/>
        <v>3.1211990680203145</v>
      </c>
      <c r="K160" s="66">
        <f t="shared" si="104"/>
        <v>126.60700100512662</v>
      </c>
      <c r="L160" s="66">
        <f t="shared" si="105"/>
        <v>119.8153681004091</v>
      </c>
      <c r="M160" s="66">
        <f t="shared" si="95"/>
        <v>123.21118455276786</v>
      </c>
      <c r="N160" s="69">
        <f t="shared" si="110"/>
        <v>3.1352340525062639</v>
      </c>
      <c r="O160" s="69">
        <f t="shared" si="111"/>
        <v>2.8041621316969989</v>
      </c>
      <c r="P160" s="123">
        <f t="shared" si="96"/>
        <v>2.9696980921016314</v>
      </c>
      <c r="Q160" s="69">
        <f t="shared" si="112"/>
        <v>3.3920059957781898</v>
      </c>
      <c r="R160" s="69">
        <f t="shared" si="113"/>
        <v>3.1870706363611703</v>
      </c>
      <c r="S160" s="123">
        <f t="shared" si="97"/>
        <v>3.2895383160696801</v>
      </c>
      <c r="T160" s="67">
        <f t="shared" si="78"/>
        <v>123.85616676256187</v>
      </c>
      <c r="U160" s="67">
        <f t="shared" si="79"/>
        <v>118.52484428521848</v>
      </c>
      <c r="V160" s="119">
        <f t="shared" si="98"/>
        <v>121.19050552389018</v>
      </c>
      <c r="W160" s="68">
        <f t="shared" si="114"/>
        <v>3.2501793826135534</v>
      </c>
      <c r="X160" s="68">
        <f t="shared" si="115"/>
        <v>2.9068205300566139</v>
      </c>
      <c r="Y160" s="118">
        <f t="shared" si="99"/>
        <v>3.0784999563350839</v>
      </c>
      <c r="Z160" s="68">
        <f t="shared" si="116"/>
        <v>3.5851470956818638</v>
      </c>
      <c r="AA160" s="68">
        <f t="shared" si="117"/>
        <v>3.3306080325562264</v>
      </c>
      <c r="AB160" s="118">
        <f t="shared" si="100"/>
        <v>3.4578775641190451</v>
      </c>
      <c r="AD160" s="143">
        <f t="shared" si="101"/>
        <v>0.93620839962039415</v>
      </c>
      <c r="AE160" s="143">
        <f t="shared" si="102"/>
        <v>0.94635657703919152</v>
      </c>
      <c r="AF160" s="143">
        <f t="shared" si="103"/>
        <v>0.95695553466010463</v>
      </c>
    </row>
    <row r="161" spans="1:32" x14ac:dyDescent="0.25">
      <c r="A161" s="40">
        <v>173</v>
      </c>
      <c r="B161" s="64">
        <f t="shared" si="74"/>
        <v>130.2982749546693</v>
      </c>
      <c r="C161" s="64">
        <f t="shared" si="75"/>
        <v>121.99078841748236</v>
      </c>
      <c r="D161" s="116">
        <f t="shared" si="92"/>
        <v>126.14453168607582</v>
      </c>
      <c r="E161" s="65">
        <f t="shared" si="106"/>
        <v>3.0224443108075376</v>
      </c>
      <c r="F161" s="65">
        <f t="shared" si="107"/>
        <v>2.7070756808640088</v>
      </c>
      <c r="G161" s="116">
        <f t="shared" si="93"/>
        <v>2.8647599958357732</v>
      </c>
      <c r="H161" s="65">
        <f t="shared" si="108"/>
        <v>3.213862928565641</v>
      </c>
      <c r="I161" s="65">
        <f t="shared" si="109"/>
        <v>3.0592003416271742</v>
      </c>
      <c r="J161" s="116">
        <f t="shared" si="94"/>
        <v>3.1365316350964076</v>
      </c>
      <c r="K161" s="66">
        <f t="shared" si="104"/>
        <v>127.52873283969438</v>
      </c>
      <c r="L161" s="66">
        <f t="shared" si="105"/>
        <v>120.69289181091943</v>
      </c>
      <c r="M161" s="66">
        <f t="shared" si="95"/>
        <v>124.11081232530691</v>
      </c>
      <c r="N161" s="69">
        <f t="shared" si="110"/>
        <v>3.1382248681805494</v>
      </c>
      <c r="O161" s="69">
        <f t="shared" si="111"/>
        <v>2.8103591994217707</v>
      </c>
      <c r="P161" s="123">
        <f t="shared" si="96"/>
        <v>2.9742920338011603</v>
      </c>
      <c r="Q161" s="69">
        <f t="shared" si="112"/>
        <v>3.4086585290767228</v>
      </c>
      <c r="R161" s="69">
        <f t="shared" si="113"/>
        <v>3.2038170531365946</v>
      </c>
      <c r="S161" s="123">
        <f t="shared" si="97"/>
        <v>3.3062377911066587</v>
      </c>
      <c r="T161" s="67">
        <f t="shared" si="78"/>
        <v>124.75919072471947</v>
      </c>
      <c r="U161" s="67">
        <f t="shared" si="79"/>
        <v>119.3949952043565</v>
      </c>
      <c r="V161" s="119">
        <f t="shared" si="98"/>
        <v>122.077092964538</v>
      </c>
      <c r="W161" s="68">
        <f t="shared" si="114"/>
        <v>3.2540054255535611</v>
      </c>
      <c r="X161" s="68">
        <f t="shared" si="115"/>
        <v>2.913642717979533</v>
      </c>
      <c r="Y161" s="118">
        <f t="shared" si="99"/>
        <v>3.0838240717665473</v>
      </c>
      <c r="Z161" s="68">
        <f t="shared" si="116"/>
        <v>3.6034541295878046</v>
      </c>
      <c r="AA161" s="68">
        <f t="shared" si="117"/>
        <v>3.3484337646460149</v>
      </c>
      <c r="AB161" s="118">
        <f t="shared" si="100"/>
        <v>3.4759439471169098</v>
      </c>
      <c r="AD161" s="143">
        <f t="shared" si="101"/>
        <v>0.93624254396248063</v>
      </c>
      <c r="AE161" s="143">
        <f t="shared" si="102"/>
        <v>0.94639764015088501</v>
      </c>
      <c r="AF161" s="143">
        <f t="shared" si="103"/>
        <v>0.95700360439016441</v>
      </c>
    </row>
    <row r="162" spans="1:32" x14ac:dyDescent="0.25">
      <c r="A162" s="40">
        <v>174</v>
      </c>
      <c r="B162" s="64">
        <f t="shared" si="74"/>
        <v>131.23493970267475</v>
      </c>
      <c r="C162" s="64">
        <f t="shared" si="75"/>
        <v>122.87292387413268</v>
      </c>
      <c r="D162" s="116">
        <f t="shared" si="92"/>
        <v>127.05393178840372</v>
      </c>
      <c r="E162" s="65">
        <f t="shared" si="106"/>
        <v>3.0245137850954142</v>
      </c>
      <c r="F162" s="65">
        <f t="shared" si="107"/>
        <v>2.7125553652531522</v>
      </c>
      <c r="G162" s="116">
        <f t="shared" si="93"/>
        <v>2.8685345751742832</v>
      </c>
      <c r="H162" s="65">
        <f t="shared" si="108"/>
        <v>3.2290248902137599</v>
      </c>
      <c r="I162" s="65">
        <f t="shared" si="109"/>
        <v>3.0749873444078348</v>
      </c>
      <c r="J162" s="116">
        <f t="shared" si="94"/>
        <v>3.1520061173107976</v>
      </c>
      <c r="K162" s="66">
        <f t="shared" si="104"/>
        <v>128.44678596531429</v>
      </c>
      <c r="L162" s="66">
        <f t="shared" si="105"/>
        <v>121.5677122964624</v>
      </c>
      <c r="M162" s="66">
        <f t="shared" si="95"/>
        <v>125.00724913088834</v>
      </c>
      <c r="N162" s="69">
        <f t="shared" si="110"/>
        <v>3.1411093860457471</v>
      </c>
      <c r="O162" s="69">
        <f t="shared" si="111"/>
        <v>2.8164551880444408</v>
      </c>
      <c r="P162" s="123">
        <f t="shared" si="96"/>
        <v>2.9787822870450942</v>
      </c>
      <c r="Q162" s="69">
        <f t="shared" si="112"/>
        <v>3.4254723437115153</v>
      </c>
      <c r="R162" s="69">
        <f t="shared" si="113"/>
        <v>3.2206847080186272</v>
      </c>
      <c r="S162" s="123">
        <f t="shared" si="97"/>
        <v>3.3230785258650712</v>
      </c>
      <c r="T162" s="67">
        <f t="shared" si="78"/>
        <v>125.6586322279538</v>
      </c>
      <c r="U162" s="67">
        <f t="shared" si="79"/>
        <v>120.26250071879213</v>
      </c>
      <c r="V162" s="119">
        <f t="shared" si="98"/>
        <v>122.96056647337296</v>
      </c>
      <c r="W162" s="68">
        <f t="shared" si="114"/>
        <v>3.2577049869960799</v>
      </c>
      <c r="X162" s="68">
        <f t="shared" si="115"/>
        <v>2.9203550108357299</v>
      </c>
      <c r="Y162" s="118">
        <f t="shared" si="99"/>
        <v>3.0890299989159047</v>
      </c>
      <c r="Z162" s="68">
        <f t="shared" si="116"/>
        <v>3.6219197972092703</v>
      </c>
      <c r="AA162" s="68">
        <f t="shared" si="117"/>
        <v>3.366382071629419</v>
      </c>
      <c r="AB162" s="118">
        <f t="shared" si="100"/>
        <v>3.4941509344193449</v>
      </c>
      <c r="AD162" s="143">
        <f t="shared" si="101"/>
        <v>0.93628209189193812</v>
      </c>
      <c r="AE162" s="143">
        <f t="shared" si="102"/>
        <v>0.94644417439367068</v>
      </c>
      <c r="AF162" s="143">
        <f t="shared" si="103"/>
        <v>0.95705721593903148</v>
      </c>
    </row>
    <row r="163" spans="1:32" x14ac:dyDescent="0.25">
      <c r="A163" s="40">
        <v>175</v>
      </c>
      <c r="B163" s="64">
        <f t="shared" si="74"/>
        <v>132.16779148749171</v>
      </c>
      <c r="C163" s="64">
        <f t="shared" si="75"/>
        <v>123.75226274368852</v>
      </c>
      <c r="D163" s="116">
        <f t="shared" si="92"/>
        <v>127.96002711559012</v>
      </c>
      <c r="E163" s="65">
        <f t="shared" si="106"/>
        <v>3.0265005410721098</v>
      </c>
      <c r="F163" s="65">
        <f t="shared" si="107"/>
        <v>2.7179443610633736</v>
      </c>
      <c r="G163" s="116">
        <f t="shared" si="93"/>
        <v>2.8722224510677417</v>
      </c>
      <c r="H163" s="65">
        <f t="shared" si="108"/>
        <v>3.24435305836495</v>
      </c>
      <c r="I163" s="65">
        <f t="shared" si="109"/>
        <v>3.0908952795822988</v>
      </c>
      <c r="J163" s="116">
        <f t="shared" si="94"/>
        <v>3.1676241689736244</v>
      </c>
      <c r="K163" s="66">
        <f t="shared" si="104"/>
        <v>129.36112286136103</v>
      </c>
      <c r="L163" s="66">
        <f t="shared" si="105"/>
        <v>122.4397940183499</v>
      </c>
      <c r="M163" s="66">
        <f t="shared" si="95"/>
        <v>125.90045843985547</v>
      </c>
      <c r="N163" s="69">
        <f t="shared" si="110"/>
        <v>3.1438913461053914</v>
      </c>
      <c r="O163" s="69">
        <f t="shared" si="111"/>
        <v>2.8224517689620638</v>
      </c>
      <c r="P163" s="123">
        <f t="shared" si="96"/>
        <v>2.9831715575337276</v>
      </c>
      <c r="Q163" s="69">
        <f t="shared" si="112"/>
        <v>3.4424500459347733</v>
      </c>
      <c r="R163" s="69">
        <f t="shared" si="113"/>
        <v>3.2376747481058521</v>
      </c>
      <c r="S163" s="123">
        <f t="shared" si="97"/>
        <v>3.3400623970203127</v>
      </c>
      <c r="T163" s="67">
        <f t="shared" si="78"/>
        <v>126.55445423523032</v>
      </c>
      <c r="U163" s="67">
        <f t="shared" si="79"/>
        <v>121.12732529301128</v>
      </c>
      <c r="V163" s="119">
        <f t="shared" si="98"/>
        <v>123.8408897641208</v>
      </c>
      <c r="W163" s="68">
        <f t="shared" si="114"/>
        <v>3.2612821511386736</v>
      </c>
      <c r="X163" s="68">
        <f t="shared" si="115"/>
        <v>2.9269591768607537</v>
      </c>
      <c r="Y163" s="118">
        <f t="shared" si="99"/>
        <v>3.0941206639997136</v>
      </c>
      <c r="Z163" s="68">
        <f t="shared" si="116"/>
        <v>3.6405470335045966</v>
      </c>
      <c r="AA163" s="68">
        <f t="shared" si="117"/>
        <v>3.3844542166294054</v>
      </c>
      <c r="AB163" s="118">
        <f t="shared" si="100"/>
        <v>3.512500625067001</v>
      </c>
      <c r="AD163" s="143">
        <f t="shared" si="101"/>
        <v>0.93632693223447228</v>
      </c>
      <c r="AE163" s="143">
        <f t="shared" si="102"/>
        <v>0.9464960670569561</v>
      </c>
      <c r="AF163" s="143">
        <f t="shared" si="103"/>
        <v>0.95711625501437125</v>
      </c>
    </row>
    <row r="164" spans="1:32" x14ac:dyDescent="0.25">
      <c r="A164" s="40">
        <v>176</v>
      </c>
      <c r="B164" s="64">
        <f t="shared" si="74"/>
        <v>133.09679379940701</v>
      </c>
      <c r="C164" s="64">
        <f t="shared" si="75"/>
        <v>124.62877056873744</v>
      </c>
      <c r="D164" s="116">
        <f t="shared" si="92"/>
        <v>128.86278218407222</v>
      </c>
      <c r="E164" s="65">
        <f t="shared" si="106"/>
        <v>3.0284078510909591</v>
      </c>
      <c r="F164" s="65">
        <f t="shared" si="107"/>
        <v>2.7232442205777172</v>
      </c>
      <c r="G164" s="116">
        <f t="shared" si="93"/>
        <v>2.8758260358343382</v>
      </c>
      <c r="H164" s="65">
        <f t="shared" si="108"/>
        <v>3.259849638960937</v>
      </c>
      <c r="I164" s="65">
        <f t="shared" si="109"/>
        <v>3.1069251668411884</v>
      </c>
      <c r="J164" s="116">
        <f t="shared" si="94"/>
        <v>3.1833874029010625</v>
      </c>
      <c r="K164" s="66">
        <f t="shared" si="104"/>
        <v>130.27170747015015</v>
      </c>
      <c r="L164" s="66">
        <f t="shared" si="105"/>
        <v>123.30910250804789</v>
      </c>
      <c r="M164" s="66">
        <f t="shared" si="95"/>
        <v>126.79040498909902</v>
      </c>
      <c r="N164" s="69">
        <f t="shared" si="110"/>
        <v>3.1465743689599028</v>
      </c>
      <c r="O164" s="69">
        <f t="shared" si="111"/>
        <v>2.8283505919022338</v>
      </c>
      <c r="P164" s="123">
        <f t="shared" si="96"/>
        <v>2.9874624804310681</v>
      </c>
      <c r="Q164" s="69">
        <f t="shared" si="112"/>
        <v>3.4595941706445288</v>
      </c>
      <c r="R164" s="69">
        <f t="shared" si="113"/>
        <v>3.2547883079157147</v>
      </c>
      <c r="S164" s="123">
        <f t="shared" si="97"/>
        <v>3.3571912392801218</v>
      </c>
      <c r="T164" s="67">
        <f t="shared" si="78"/>
        <v>127.4466211408933</v>
      </c>
      <c r="U164" s="67">
        <f t="shared" si="79"/>
        <v>121.98943444735833</v>
      </c>
      <c r="V164" s="119">
        <f t="shared" si="98"/>
        <v>124.71802779412582</v>
      </c>
      <c r="W164" s="68">
        <f t="shared" si="114"/>
        <v>3.264740886828847</v>
      </c>
      <c r="X164" s="68">
        <f t="shared" si="115"/>
        <v>2.9334569632267504</v>
      </c>
      <c r="Y164" s="118">
        <f t="shared" si="99"/>
        <v>3.0990989250277989</v>
      </c>
      <c r="Z164" s="68">
        <f t="shared" si="116"/>
        <v>3.659338702328121</v>
      </c>
      <c r="AA164" s="68">
        <f t="shared" si="117"/>
        <v>3.4026514489902411</v>
      </c>
      <c r="AB164" s="118">
        <f t="shared" si="100"/>
        <v>3.530995075659181</v>
      </c>
      <c r="AD164" s="143">
        <f t="shared" si="101"/>
        <v>0.93637695553033451</v>
      </c>
      <c r="AE164" s="143">
        <f t="shared" si="102"/>
        <v>0.94655320715975388</v>
      </c>
      <c r="AF164" s="143">
        <f t="shared" si="103"/>
        <v>0.95718060906846636</v>
      </c>
    </row>
    <row r="165" spans="1:32" x14ac:dyDescent="0.25">
      <c r="A165" s="40">
        <v>177</v>
      </c>
      <c r="B165" s="64">
        <f t="shared" si="74"/>
        <v>134.02191159949476</v>
      </c>
      <c r="C165" s="64">
        <f t="shared" si="75"/>
        <v>125.5024139618602</v>
      </c>
      <c r="D165" s="116">
        <f t="shared" si="92"/>
        <v>129.76216278067747</v>
      </c>
      <c r="E165" s="65">
        <f t="shared" si="106"/>
        <v>3.0302388675712297</v>
      </c>
      <c r="F165" s="65">
        <f t="shared" si="107"/>
        <v>2.7284564738257617</v>
      </c>
      <c r="G165" s="116">
        <f t="shared" si="93"/>
        <v>2.879347670698496</v>
      </c>
      <c r="H165" s="65">
        <f t="shared" si="108"/>
        <v>3.2755167690901761</v>
      </c>
      <c r="I165" s="65">
        <f t="shared" si="109"/>
        <v>3.123078014787168</v>
      </c>
      <c r="J165" s="116">
        <f t="shared" si="94"/>
        <v>3.1992973919386722</v>
      </c>
      <c r="K165" s="66">
        <f t="shared" si="104"/>
        <v>131.17850517389019</v>
      </c>
      <c r="L165" s="66">
        <f t="shared" si="105"/>
        <v>124.17560435309635</v>
      </c>
      <c r="M165" s="66">
        <f t="shared" si="95"/>
        <v>127.67705476349326</v>
      </c>
      <c r="N165" s="69">
        <f t="shared" si="110"/>
        <v>3.1491619585360295</v>
      </c>
      <c r="O165" s="69">
        <f t="shared" si="111"/>
        <v>2.8341532848472846</v>
      </c>
      <c r="P165" s="123">
        <f t="shared" si="96"/>
        <v>2.9916576216916573</v>
      </c>
      <c r="Q165" s="69">
        <f t="shared" si="112"/>
        <v>3.4769071837437338</v>
      </c>
      <c r="R165" s="69">
        <f t="shared" si="113"/>
        <v>3.2720265096787906</v>
      </c>
      <c r="S165" s="123">
        <f t="shared" si="97"/>
        <v>3.374466846711262</v>
      </c>
      <c r="T165" s="67">
        <f t="shared" si="78"/>
        <v>128.33509874828559</v>
      </c>
      <c r="U165" s="67">
        <f t="shared" si="79"/>
        <v>122.84879474433249</v>
      </c>
      <c r="V165" s="119">
        <f t="shared" si="98"/>
        <v>125.59194674630905</v>
      </c>
      <c r="W165" s="68">
        <f t="shared" si="114"/>
        <v>3.2680850495008289</v>
      </c>
      <c r="X165" s="68">
        <f t="shared" si="115"/>
        <v>2.9398500958688074</v>
      </c>
      <c r="Y165" s="118">
        <f t="shared" si="99"/>
        <v>3.1039675726848182</v>
      </c>
      <c r="Z165" s="68">
        <f t="shared" si="116"/>
        <v>3.678297598397291</v>
      </c>
      <c r="AA165" s="68">
        <f t="shared" si="117"/>
        <v>3.4209750045704133</v>
      </c>
      <c r="AB165" s="118">
        <f t="shared" si="100"/>
        <v>3.5496363014838521</v>
      </c>
      <c r="AD165" s="143">
        <f t="shared" si="101"/>
        <v>0.93643205401297469</v>
      </c>
      <c r="AE165" s="143">
        <f t="shared" si="102"/>
        <v>0.94661548542948559</v>
      </c>
      <c r="AF165" s="143">
        <f t="shared" si="103"/>
        <v>0.95725016727720103</v>
      </c>
    </row>
    <row r="166" spans="1:32" x14ac:dyDescent="0.25">
      <c r="A166" s="40">
        <v>178</v>
      </c>
      <c r="B166" s="64">
        <f t="shared" si="74"/>
        <v>134.9431112958425</v>
      </c>
      <c r="C166" s="64">
        <f t="shared" si="75"/>
        <v>126.37316059111747</v>
      </c>
      <c r="D166" s="116">
        <f t="shared" si="92"/>
        <v>130.65813594347998</v>
      </c>
      <c r="E166" s="65">
        <f t="shared" si="106"/>
        <v>3.0319966264991964</v>
      </c>
      <c r="F166" s="65">
        <f t="shared" si="107"/>
        <v>2.7335826286235747</v>
      </c>
      <c r="G166" s="116">
        <f t="shared" si="93"/>
        <v>2.8827896275613858</v>
      </c>
      <c r="H166" s="65">
        <f t="shared" si="108"/>
        <v>3.2913565196776338</v>
      </c>
      <c r="I166" s="65">
        <f t="shared" si="109"/>
        <v>3.139354821224253</v>
      </c>
      <c r="J166" s="116">
        <f t="shared" si="94"/>
        <v>3.2153556704509434</v>
      </c>
      <c r="K166" s="66">
        <f t="shared" si="104"/>
        <v>132.08148277157235</v>
      </c>
      <c r="L166" s="66">
        <f t="shared" si="105"/>
        <v>125.03926718296847</v>
      </c>
      <c r="M166" s="66">
        <f t="shared" si="95"/>
        <v>128.56037497727041</v>
      </c>
      <c r="N166" s="69">
        <f t="shared" si="110"/>
        <v>3.1516575048400535</v>
      </c>
      <c r="O166" s="69">
        <f t="shared" si="111"/>
        <v>2.8398614539807938</v>
      </c>
      <c r="P166" s="123">
        <f t="shared" si="96"/>
        <v>2.9957594794104239</v>
      </c>
      <c r="Q166" s="69">
        <f t="shared" si="112"/>
        <v>3.4943914844623909</v>
      </c>
      <c r="R166" s="69">
        <f t="shared" si="113"/>
        <v>3.2893904636289744</v>
      </c>
      <c r="S166" s="123">
        <f t="shared" si="97"/>
        <v>3.3918909740456824</v>
      </c>
      <c r="T166" s="67">
        <f t="shared" si="78"/>
        <v>129.21985424730221</v>
      </c>
      <c r="U166" s="67">
        <f t="shared" si="79"/>
        <v>123.70537377481949</v>
      </c>
      <c r="V166" s="119">
        <f t="shared" si="98"/>
        <v>126.46261401106085</v>
      </c>
      <c r="W166" s="68">
        <f t="shared" si="114"/>
        <v>3.2713183831809105</v>
      </c>
      <c r="X166" s="68">
        <f t="shared" si="115"/>
        <v>2.9461402793380129</v>
      </c>
      <c r="Y166" s="118">
        <f t="shared" si="99"/>
        <v>3.1087293312594619</v>
      </c>
      <c r="Z166" s="68">
        <f t="shared" si="116"/>
        <v>3.697426449247148</v>
      </c>
      <c r="AA166" s="68">
        <f t="shared" si="117"/>
        <v>3.4394261060336953</v>
      </c>
      <c r="AB166" s="118">
        <f t="shared" si="100"/>
        <v>3.5684262776404214</v>
      </c>
      <c r="AD166" s="143">
        <f t="shared" si="101"/>
        <v>0.9364921215879134</v>
      </c>
      <c r="AE166" s="143">
        <f t="shared" si="102"/>
        <v>0.94668279428098934</v>
      </c>
      <c r="AF166" s="143">
        <f t="shared" si="103"/>
        <v>0.95732482051922885</v>
      </c>
    </row>
    <row r="167" spans="1:32" x14ac:dyDescent="0.25">
      <c r="A167" s="40">
        <v>179</v>
      </c>
      <c r="B167" s="64">
        <f t="shared" si="74"/>
        <v>135.86036071973797</v>
      </c>
      <c r="C167" s="64">
        <f t="shared" si="75"/>
        <v>127.24097916548978</v>
      </c>
      <c r="D167" s="116">
        <f t="shared" si="92"/>
        <v>131.55066994261387</v>
      </c>
      <c r="E167" s="65">
        <f t="shared" si="106"/>
        <v>3.0336840509008058</v>
      </c>
      <c r="F167" s="65">
        <f t="shared" si="107"/>
        <v>2.7386241706305476</v>
      </c>
      <c r="G167" s="116">
        <f t="shared" si="93"/>
        <v>2.886154110765677</v>
      </c>
      <c r="H167" s="65">
        <f t="shared" si="108"/>
        <v>3.3073708981108347</v>
      </c>
      <c r="I167" s="65">
        <f t="shared" si="109"/>
        <v>3.1557565734420834</v>
      </c>
      <c r="J167" s="116">
        <f t="shared" si="94"/>
        <v>3.2315637357764588</v>
      </c>
      <c r="K167" s="66">
        <f t="shared" si="104"/>
        <v>132.98060845581682</v>
      </c>
      <c r="L167" s="66">
        <f t="shared" si="105"/>
        <v>125.90005965487906</v>
      </c>
      <c r="M167" s="66">
        <f t="shared" si="95"/>
        <v>129.44033405534793</v>
      </c>
      <c r="N167" s="69">
        <f t="shared" si="110"/>
        <v>3.1540642867262561</v>
      </c>
      <c r="O167" s="69">
        <f t="shared" si="111"/>
        <v>2.8454766836552521</v>
      </c>
      <c r="P167" s="123">
        <f t="shared" si="96"/>
        <v>2.9997704851907541</v>
      </c>
      <c r="Q167" s="69">
        <f t="shared" si="112"/>
        <v>3.512049407640486</v>
      </c>
      <c r="R167" s="69">
        <f t="shared" si="113"/>
        <v>3.3068812682895485</v>
      </c>
      <c r="S167" s="123">
        <f t="shared" si="97"/>
        <v>3.4094653379650173</v>
      </c>
      <c r="T167" s="67">
        <f t="shared" si="78"/>
        <v>130.10085619189567</v>
      </c>
      <c r="U167" s="67">
        <f t="shared" si="79"/>
        <v>124.55914014426834</v>
      </c>
      <c r="V167" s="119">
        <f t="shared" si="98"/>
        <v>127.329998168082</v>
      </c>
      <c r="W167" s="68">
        <f t="shared" si="114"/>
        <v>3.2744445225517067</v>
      </c>
      <c r="X167" s="68">
        <f t="shared" si="115"/>
        <v>2.952329196679957</v>
      </c>
      <c r="Y167" s="118">
        <f t="shared" si="99"/>
        <v>3.1133868596158321</v>
      </c>
      <c r="Z167" s="68">
        <f t="shared" si="116"/>
        <v>3.7167279171701368</v>
      </c>
      <c r="AA167" s="68">
        <f t="shared" si="117"/>
        <v>3.4580059631370133</v>
      </c>
      <c r="AB167" s="118">
        <f t="shared" si="100"/>
        <v>3.5873669401535748</v>
      </c>
      <c r="AD167" s="143">
        <f t="shared" si="101"/>
        <v>0.93655705381182641</v>
      </c>
      <c r="AE167" s="143">
        <f t="shared" si="102"/>
        <v>0.9467550277957234</v>
      </c>
      <c r="AF167" s="143">
        <f t="shared" si="103"/>
        <v>0.95740446135532398</v>
      </c>
    </row>
    <row r="168" spans="1:32" x14ac:dyDescent="0.25">
      <c r="A168" s="40">
        <v>180</v>
      </c>
      <c r="B168" s="64">
        <f t="shared" si="74"/>
        <v>136.77362910183504</v>
      </c>
      <c r="C168" s="64">
        <f t="shared" si="75"/>
        <v>128.10583942028023</v>
      </c>
      <c r="D168" s="116">
        <f t="shared" si="92"/>
        <v>132.43973426105765</v>
      </c>
      <c r="E168" s="65">
        <f t="shared" si="106"/>
        <v>3.0353039542792839</v>
      </c>
      <c r="F168" s="65">
        <f t="shared" si="107"/>
        <v>2.7435825634221063</v>
      </c>
      <c r="G168" s="116">
        <f t="shared" si="93"/>
        <v>2.8894432588506951</v>
      </c>
      <c r="H168" s="65">
        <f t="shared" si="108"/>
        <v>3.323561850799579</v>
      </c>
      <c r="I168" s="65">
        <f t="shared" si="109"/>
        <v>3.1722842484961169</v>
      </c>
      <c r="J168" s="116">
        <f t="shared" si="94"/>
        <v>3.2479230496478477</v>
      </c>
      <c r="K168" s="66">
        <f t="shared" si="104"/>
        <v>133.87585178969306</v>
      </c>
      <c r="L168" s="66">
        <f t="shared" si="105"/>
        <v>126.75795143955158</v>
      </c>
      <c r="M168" s="66">
        <f t="shared" si="95"/>
        <v>130.31690161462231</v>
      </c>
      <c r="N168" s="69">
        <f t="shared" si="110"/>
        <v>3.1563854746727813</v>
      </c>
      <c r="O168" s="69">
        <f t="shared" si="111"/>
        <v>2.8510005363797624</v>
      </c>
      <c r="P168" s="123">
        <f t="shared" si="96"/>
        <v>3.0036930055262721</v>
      </c>
      <c r="Q168" s="69">
        <f t="shared" si="112"/>
        <v>3.5298832259676889</v>
      </c>
      <c r="R168" s="69">
        <f t="shared" si="113"/>
        <v>3.324500010755155</v>
      </c>
      <c r="S168" s="123">
        <f t="shared" si="97"/>
        <v>3.4271916183614222</v>
      </c>
      <c r="T168" s="67">
        <f t="shared" si="78"/>
        <v>130.9780744775511</v>
      </c>
      <c r="U168" s="67">
        <f t="shared" si="79"/>
        <v>125.41006345882292</v>
      </c>
      <c r="V168" s="119">
        <f t="shared" si="98"/>
        <v>128.19406896818703</v>
      </c>
      <c r="W168" s="68">
        <f t="shared" si="114"/>
        <v>3.2774669950662783</v>
      </c>
      <c r="X168" s="68">
        <f t="shared" si="115"/>
        <v>2.9584185093374185</v>
      </c>
      <c r="Y168" s="118">
        <f t="shared" si="99"/>
        <v>3.1179427522018486</v>
      </c>
      <c r="Z168" s="68">
        <f t="shared" si="116"/>
        <v>3.7362046011357983</v>
      </c>
      <c r="AA168" s="68">
        <f t="shared" si="117"/>
        <v>3.4767157730141931</v>
      </c>
      <c r="AB168" s="118">
        <f t="shared" si="100"/>
        <v>3.6064601870749957</v>
      </c>
      <c r="AD168" s="143">
        <f t="shared" si="101"/>
        <v>0.93662674787183431</v>
      </c>
      <c r="AE168" s="143">
        <f t="shared" si="102"/>
        <v>0.94683208170116395</v>
      </c>
      <c r="AF168" s="143">
        <f t="shared" si="103"/>
        <v>0.95748898400791116</v>
      </c>
    </row>
    <row r="169" spans="1:32" x14ac:dyDescent="0.25">
      <c r="A169" s="40">
        <v>181</v>
      </c>
      <c r="B169" s="64">
        <f t="shared" si="74"/>
        <v>137.68288704831582</v>
      </c>
      <c r="C169" s="64">
        <f t="shared" si="75"/>
        <v>128.96771210249008</v>
      </c>
      <c r="D169" s="116">
        <f t="shared" si="92"/>
        <v>133.32529957540294</v>
      </c>
      <c r="E169" s="65">
        <f t="shared" si="106"/>
        <v>3.0368590440117331</v>
      </c>
      <c r="F169" s="65">
        <f t="shared" si="107"/>
        <v>2.7484592485773245</v>
      </c>
      <c r="G169" s="116">
        <f t="shared" si="93"/>
        <v>2.8926591462945286</v>
      </c>
      <c r="H169" s="65">
        <f t="shared" si="108"/>
        <v>3.3399312656718498</v>
      </c>
      <c r="I169" s="65">
        <f t="shared" si="109"/>
        <v>3.1889388134802577</v>
      </c>
      <c r="J169" s="116">
        <f t="shared" si="94"/>
        <v>3.2644350395760537</v>
      </c>
      <c r="K169" s="66">
        <f t="shared" si="104"/>
        <v>134.76718368353158</v>
      </c>
      <c r="L169" s="66">
        <f t="shared" si="105"/>
        <v>127.61291320695379</v>
      </c>
      <c r="M169" s="66">
        <f t="shared" si="95"/>
        <v>131.1900484452427</v>
      </c>
      <c r="N169" s="69">
        <f t="shared" si="110"/>
        <v>3.1586241335577028</v>
      </c>
      <c r="O169" s="69">
        <f t="shared" si="111"/>
        <v>2.8564345528266868</v>
      </c>
      <c r="P169" s="123">
        <f t="shared" si="96"/>
        <v>3.0075293431921946</v>
      </c>
      <c r="Q169" s="69">
        <f t="shared" si="112"/>
        <v>3.5478951521820732</v>
      </c>
      <c r="R169" s="69">
        <f t="shared" si="113"/>
        <v>3.3422477669684927</v>
      </c>
      <c r="S169" s="123">
        <f t="shared" si="97"/>
        <v>3.4450714595752832</v>
      </c>
      <c r="T169" s="67">
        <f t="shared" si="78"/>
        <v>131.85148031874738</v>
      </c>
      <c r="U169" s="67">
        <f t="shared" si="79"/>
        <v>126.2581143114175</v>
      </c>
      <c r="V169" s="119">
        <f t="shared" si="98"/>
        <v>129.05479731508245</v>
      </c>
      <c r="W169" s="68">
        <f t="shared" si="114"/>
        <v>3.2803892231036724</v>
      </c>
      <c r="X169" s="68">
        <f t="shared" si="115"/>
        <v>2.9644098570760495</v>
      </c>
      <c r="Y169" s="118">
        <f t="shared" si="99"/>
        <v>3.122399540089861</v>
      </c>
      <c r="Z169" s="68">
        <f t="shared" si="116"/>
        <v>3.7558590386922965</v>
      </c>
      <c r="AA169" s="68">
        <f t="shared" si="117"/>
        <v>3.4955567204567277</v>
      </c>
      <c r="AB169" s="118">
        <f t="shared" si="100"/>
        <v>3.6257078795745121</v>
      </c>
      <c r="AD169" s="143">
        <f t="shared" si="101"/>
        <v>0.93670110256500216</v>
      </c>
      <c r="AE169" s="143">
        <f t="shared" si="102"/>
        <v>0.94691385335039813</v>
      </c>
      <c r="AF169" s="143">
        <f t="shared" si="103"/>
        <v>0.95757828434077441</v>
      </c>
    </row>
    <row r="170" spans="1:32" x14ac:dyDescent="0.25">
      <c r="A170" s="40">
        <v>182</v>
      </c>
      <c r="B170" s="64">
        <f t="shared" si="74"/>
        <v>138.58810651706676</v>
      </c>
      <c r="C170" s="64">
        <f t="shared" si="75"/>
        <v>129.82656895617546</v>
      </c>
      <c r="D170" s="116">
        <f t="shared" si="92"/>
        <v>134.20733773662113</v>
      </c>
      <c r="E170" s="65">
        <f t="shared" si="106"/>
        <v>3.0383519246994233</v>
      </c>
      <c r="F170" s="65">
        <f t="shared" si="107"/>
        <v>2.7532556457805439</v>
      </c>
      <c r="G170" s="116">
        <f t="shared" si="93"/>
        <v>2.8958037852399836</v>
      </c>
      <c r="H170" s="65">
        <f t="shared" si="108"/>
        <v>3.3564809745992985</v>
      </c>
      <c r="I170" s="65">
        <f t="shared" si="109"/>
        <v>3.2057212257971033</v>
      </c>
      <c r="J170" s="116">
        <f t="shared" si="94"/>
        <v>3.2811011001982009</v>
      </c>
      <c r="K170" s="66">
        <f>(B170+T170)/2</f>
        <v>135.65457637174404</v>
      </c>
      <c r="L170" s="66">
        <f t="shared" si="105"/>
        <v>128.46491661201026</v>
      </c>
      <c r="M170" s="66">
        <f t="shared" si="95"/>
        <v>132.05974649187715</v>
      </c>
      <c r="N170" s="69">
        <f t="shared" si="110"/>
        <v>3.1607832254287018</v>
      </c>
      <c r="O170" s="69">
        <f t="shared" si="111"/>
        <v>2.8617802518562057</v>
      </c>
      <c r="P170" s="123">
        <f t="shared" si="96"/>
        <v>3.0112817386424537</v>
      </c>
      <c r="Q170" s="69">
        <f t="shared" si="112"/>
        <v>3.5660873412203906</v>
      </c>
      <c r="R170" s="69">
        <f t="shared" si="113"/>
        <v>3.3601256019943078</v>
      </c>
      <c r="S170" s="123">
        <f t="shared" si="97"/>
        <v>3.4631064716073494</v>
      </c>
      <c r="T170" s="67">
        <f t="shared" si="78"/>
        <v>132.72104622642132</v>
      </c>
      <c r="U170" s="67">
        <f t="shared" si="79"/>
        <v>127.10326426784505</v>
      </c>
      <c r="V170" s="119">
        <f t="shared" si="98"/>
        <v>129.91215524713317</v>
      </c>
      <c r="W170" s="68">
        <f t="shared" si="114"/>
        <v>3.2832145261579804</v>
      </c>
      <c r="X170" s="68">
        <f t="shared" si="115"/>
        <v>2.9703048579318674</v>
      </c>
      <c r="Y170" s="118">
        <f t="shared" si="99"/>
        <v>3.1267596920449239</v>
      </c>
      <c r="Z170" s="68">
        <f t="shared" si="116"/>
        <v>3.7756937078414827</v>
      </c>
      <c r="AA170" s="68">
        <f t="shared" si="117"/>
        <v>3.5145299781915118</v>
      </c>
      <c r="AB170" s="118">
        <f t="shared" si="100"/>
        <v>3.6451118430164975</v>
      </c>
      <c r="AD170" s="143">
        <f t="shared" si="101"/>
        <v>0.9367800182780307</v>
      </c>
      <c r="AE170" s="143">
        <f t="shared" si="102"/>
        <v>0.94700024170189845</v>
      </c>
      <c r="AF170" s="143">
        <f t="shared" si="103"/>
        <v>0.95767225983893789</v>
      </c>
    </row>
    <row r="171" spans="1:32" x14ac:dyDescent="0.25">
      <c r="A171" s="40">
        <v>183</v>
      </c>
      <c r="B171" s="64">
        <f t="shared" si="74"/>
        <v>139.4892607938836</v>
      </c>
      <c r="C171" s="64">
        <f t="shared" si="75"/>
        <v>130.68238270779506</v>
      </c>
      <c r="D171" s="116">
        <f t="shared" si="92"/>
        <v>135.08582175083933</v>
      </c>
      <c r="E171" s="65">
        <f t="shared" si="106"/>
        <v>3.0397851014670803</v>
      </c>
      <c r="F171" s="65">
        <f t="shared" si="107"/>
        <v>2.757973152936088</v>
      </c>
      <c r="G171" s="116">
        <f t="shared" si="93"/>
        <v>2.8988791272015844</v>
      </c>
      <c r="H171" s="65">
        <f t="shared" si="108"/>
        <v>3.3732127557609304</v>
      </c>
      <c r="I171" s="65">
        <f t="shared" si="109"/>
        <v>3.2226324334199306</v>
      </c>
      <c r="J171" s="116">
        <f t="shared" si="94"/>
        <v>3.2979225945904305</v>
      </c>
      <c r="K171" s="66">
        <f t="shared" si="104"/>
        <v>136.5380033896667</v>
      </c>
      <c r="L171" s="66">
        <f t="shared" si="105"/>
        <v>129.31393428030117</v>
      </c>
      <c r="M171" s="66">
        <f t="shared" si="95"/>
        <v>132.92596883498393</v>
      </c>
      <c r="N171" s="69">
        <f t="shared" si="110"/>
        <v>3.162865612260318</v>
      </c>
      <c r="O171" s="69">
        <f t="shared" si="111"/>
        <v>2.8670391305577643</v>
      </c>
      <c r="P171" s="123">
        <f t="shared" si="96"/>
        <v>3.0149523714090414</v>
      </c>
      <c r="Q171" s="69">
        <f t="shared" si="112"/>
        <v>3.5844618923264839</v>
      </c>
      <c r="R171" s="69">
        <f t="shared" si="113"/>
        <v>3.378134570286714</v>
      </c>
      <c r="S171" s="123">
        <f t="shared" si="97"/>
        <v>3.481298231306599</v>
      </c>
      <c r="T171" s="67">
        <f t="shared" si="78"/>
        <v>133.5867459854498</v>
      </c>
      <c r="U171" s="67">
        <f t="shared" si="79"/>
        <v>127.94548585280725</v>
      </c>
      <c r="V171" s="119">
        <f t="shared" si="98"/>
        <v>130.76611591912854</v>
      </c>
      <c r="W171" s="68">
        <f t="shared" si="114"/>
        <v>3.2859461230535554</v>
      </c>
      <c r="X171" s="68">
        <f t="shared" si="115"/>
        <v>2.9761051081794405</v>
      </c>
      <c r="Y171" s="118">
        <f t="shared" si="99"/>
        <v>3.1310256156164979</v>
      </c>
      <c r="Z171" s="68">
        <f t="shared" si="116"/>
        <v>3.7957110288920379</v>
      </c>
      <c r="AA171" s="68">
        <f t="shared" si="117"/>
        <v>3.533636707153498</v>
      </c>
      <c r="AB171" s="118">
        <f t="shared" si="100"/>
        <v>3.664673868022768</v>
      </c>
      <c r="AD171" s="143">
        <f t="shared" si="101"/>
        <v>0.93686339696715404</v>
      </c>
      <c r="AE171" s="143">
        <f t="shared" si="102"/>
        <v>0.94709114729949062</v>
      </c>
      <c r="AF171" s="143">
        <f t="shared" si="103"/>
        <v>0.95777080958872229</v>
      </c>
    </row>
    <row r="172" spans="1:32" x14ac:dyDescent="0.25">
      <c r="A172" s="40">
        <v>184</v>
      </c>
      <c r="B172" s="64">
        <f t="shared" si="74"/>
        <v>140.38632446872194</v>
      </c>
      <c r="C172" s="64">
        <f t="shared" si="75"/>
        <v>131.53512705155637</v>
      </c>
      <c r="D172" s="116">
        <f t="shared" si="92"/>
        <v>135.96072576013916</v>
      </c>
      <c r="E172" s="65">
        <f t="shared" si="106"/>
        <v>3.0411609832070519</v>
      </c>
      <c r="F172" s="65">
        <f t="shared" si="107"/>
        <v>2.7626131462952324</v>
      </c>
      <c r="G172" s="116">
        <f t="shared" si="93"/>
        <v>2.9018870647511421</v>
      </c>
      <c r="H172" s="65">
        <f t="shared" si="108"/>
        <v>3.3901283359345866</v>
      </c>
      <c r="I172" s="65">
        <f t="shared" si="109"/>
        <v>3.2396733751522735</v>
      </c>
      <c r="J172" s="116">
        <f t="shared" si="94"/>
        <v>3.3149008555434301</v>
      </c>
      <c r="K172" s="66">
        <f t="shared" si="104"/>
        <v>137.41743955044359</v>
      </c>
      <c r="L172" s="66">
        <f t="shared" si="105"/>
        <v>130.15993979375526</v>
      </c>
      <c r="M172" s="66">
        <f t="shared" si="95"/>
        <v>133.78868967209942</v>
      </c>
      <c r="N172" s="69">
        <f t="shared" si="110"/>
        <v>3.1648740586933046</v>
      </c>
      <c r="O172" s="69">
        <f t="shared" si="111"/>
        <v>2.8722126643074555</v>
      </c>
      <c r="P172" s="123">
        <f t="shared" si="96"/>
        <v>3.0185433615003801</v>
      </c>
      <c r="Q172" s="69">
        <f t="shared" si="112"/>
        <v>3.6030208511087549</v>
      </c>
      <c r="R172" s="69">
        <f t="shared" si="113"/>
        <v>3.396275715954558</v>
      </c>
      <c r="S172" s="123">
        <f t="shared" si="97"/>
        <v>3.4996482835316565</v>
      </c>
      <c r="T172" s="67">
        <f t="shared" si="78"/>
        <v>134.44855463216521</v>
      </c>
      <c r="U172" s="67">
        <f t="shared" si="79"/>
        <v>128.78475253595414</v>
      </c>
      <c r="V172" s="119">
        <f t="shared" si="98"/>
        <v>131.61665358405969</v>
      </c>
      <c r="W172" s="68">
        <f t="shared" si="114"/>
        <v>3.2885871341795578</v>
      </c>
      <c r="X172" s="68">
        <f t="shared" si="115"/>
        <v>2.9818121823196786</v>
      </c>
      <c r="Y172" s="118">
        <f t="shared" si="99"/>
        <v>3.1351996582496184</v>
      </c>
      <c r="Z172" s="68">
        <f t="shared" si="116"/>
        <v>3.8159133662829232</v>
      </c>
      <c r="AA172" s="68">
        <f t="shared" si="117"/>
        <v>3.5528780567568425</v>
      </c>
      <c r="AB172" s="118">
        <f t="shared" si="100"/>
        <v>3.6843957115198829</v>
      </c>
      <c r="AD172" s="143">
        <f t="shared" si="101"/>
        <v>0.93695114213822439</v>
      </c>
      <c r="AE172" s="143">
        <f t="shared" si="102"/>
        <v>0.94718647225249586</v>
      </c>
      <c r="AF172" s="143">
        <f t="shared" si="103"/>
        <v>0.95787383425796924</v>
      </c>
    </row>
    <row r="173" spans="1:32" x14ac:dyDescent="0.25">
      <c r="A173" s="40">
        <v>185</v>
      </c>
      <c r="B173" s="64">
        <f t="shared" si="74"/>
        <v>141.2792734120076</v>
      </c>
      <c r="C173" s="64">
        <f t="shared" si="75"/>
        <v>132.38477663476945</v>
      </c>
      <c r="D173" s="116">
        <f t="shared" si="92"/>
        <v>136.83202502338852</v>
      </c>
      <c r="E173" s="65">
        <f t="shared" si="106"/>
        <v>3.0424818857647726</v>
      </c>
      <c r="F173" s="65">
        <f t="shared" si="107"/>
        <v>2.7671769805946158</v>
      </c>
      <c r="G173" s="116">
        <f t="shared" si="93"/>
        <v>2.9048294331796942</v>
      </c>
      <c r="H173" s="65">
        <f t="shared" si="108"/>
        <v>3.4072293927240405</v>
      </c>
      <c r="I173" s="65">
        <f t="shared" si="109"/>
        <v>3.2568449808803712</v>
      </c>
      <c r="J173" s="116">
        <f t="shared" si="94"/>
        <v>3.3320371868022058</v>
      </c>
      <c r="K173" s="66">
        <f t="shared" si="104"/>
        <v>138.29286092196307</v>
      </c>
      <c r="L173" s="66">
        <f t="shared" si="105"/>
        <v>131.00290767634561</v>
      </c>
      <c r="M173" s="66">
        <f t="shared" si="95"/>
        <v>134.64788429915433</v>
      </c>
      <c r="N173" s="69">
        <f t="shared" si="110"/>
        <v>3.1668112347511319</v>
      </c>
      <c r="O173" s="69">
        <f t="shared" si="111"/>
        <v>2.8773023068403947</v>
      </c>
      <c r="P173" s="123">
        <f t="shared" si="96"/>
        <v>3.0220567707957633</v>
      </c>
      <c r="Q173" s="69">
        <f t="shared" si="112"/>
        <v>3.6217662115517806</v>
      </c>
      <c r="R173" s="69">
        <f t="shared" si="113"/>
        <v>3.4145500730203322</v>
      </c>
      <c r="S173" s="123">
        <f t="shared" si="97"/>
        <v>3.5181581422860564</v>
      </c>
      <c r="T173" s="67">
        <f t="shared" si="78"/>
        <v>135.30644843191854</v>
      </c>
      <c r="U173" s="67">
        <f t="shared" si="79"/>
        <v>129.62103871792181</v>
      </c>
      <c r="V173" s="119">
        <f t="shared" si="98"/>
        <v>132.46374357492016</v>
      </c>
      <c r="W173" s="68">
        <f t="shared" si="114"/>
        <v>3.2911405837374912</v>
      </c>
      <c r="X173" s="68">
        <f t="shared" si="115"/>
        <v>2.9874276330861735</v>
      </c>
      <c r="Y173" s="118">
        <f t="shared" si="99"/>
        <v>3.1392841084118324</v>
      </c>
      <c r="Z173" s="68">
        <f t="shared" si="116"/>
        <v>3.8363030303795203</v>
      </c>
      <c r="AA173" s="68">
        <f t="shared" si="117"/>
        <v>3.5722551651602936</v>
      </c>
      <c r="AB173" s="118">
        <f t="shared" si="100"/>
        <v>3.7042790977699069</v>
      </c>
      <c r="AD173" s="143">
        <f t="shared" si="101"/>
        <v>0.93704315882698908</v>
      </c>
      <c r="AE173" s="143">
        <f t="shared" si="102"/>
        <v>0.94728612021606029</v>
      </c>
      <c r="AF173" s="143">
        <f t="shared" si="103"/>
        <v>0.95798123607643559</v>
      </c>
    </row>
    <row r="174" spans="1:32" x14ac:dyDescent="0.25">
      <c r="A174" s="40">
        <v>186</v>
      </c>
      <c r="B174" s="64">
        <f t="shared" si="74"/>
        <v>142.16808475102107</v>
      </c>
      <c r="C174" s="64">
        <f t="shared" si="75"/>
        <v>133.23130704321579</v>
      </c>
      <c r="D174" s="116">
        <f t="shared" si="92"/>
        <v>137.69969589711843</v>
      </c>
      <c r="E174" s="65">
        <f t="shared" si="106"/>
        <v>3.0437500350624309</v>
      </c>
      <c r="F174" s="65">
        <f t="shared" si="107"/>
        <v>2.7716659892053057</v>
      </c>
      <c r="G174" s="116">
        <f t="shared" si="93"/>
        <v>2.9077080121338685</v>
      </c>
      <c r="H174" s="65">
        <f t="shared" si="108"/>
        <v>3.424517556718857</v>
      </c>
      <c r="I174" s="65">
        <f t="shared" si="109"/>
        <v>3.2741481718208032</v>
      </c>
      <c r="J174" s="116">
        <f t="shared" si="94"/>
        <v>3.3493328642698303</v>
      </c>
      <c r="K174" s="66">
        <f t="shared" si="104"/>
        <v>139.1642448038624</v>
      </c>
      <c r="L174" s="66">
        <f t="shared" si="105"/>
        <v>131.84281337979581</v>
      </c>
      <c r="M174" s="66">
        <f t="shared" si="95"/>
        <v>135.50352909182911</v>
      </c>
      <c r="N174" s="69">
        <f t="shared" si="110"/>
        <v>3.1686797185291464</v>
      </c>
      <c r="O174" s="69">
        <f t="shared" si="111"/>
        <v>2.8823094903371871</v>
      </c>
      <c r="P174" s="123">
        <f t="shared" si="96"/>
        <v>3.0254946044331668</v>
      </c>
      <c r="Q174" s="69">
        <f t="shared" si="112"/>
        <v>3.6406999179786643</v>
      </c>
      <c r="R174" s="69">
        <f t="shared" si="113"/>
        <v>3.432958665675053</v>
      </c>
      <c r="S174" s="123">
        <f t="shared" si="97"/>
        <v>3.5368292918268587</v>
      </c>
      <c r="T174" s="67">
        <f t="shared" si="78"/>
        <v>136.16040485670374</v>
      </c>
      <c r="U174" s="67">
        <f t="shared" si="79"/>
        <v>130.45431971637586</v>
      </c>
      <c r="V174" s="119">
        <f t="shared" si="98"/>
        <v>133.30736228653979</v>
      </c>
      <c r="W174" s="68">
        <f t="shared" si="114"/>
        <v>3.2936094019958615</v>
      </c>
      <c r="X174" s="68">
        <f t="shared" si="115"/>
        <v>2.992952991469068</v>
      </c>
      <c r="Y174" s="118">
        <f t="shared" si="99"/>
        <v>3.143281196732465</v>
      </c>
      <c r="Z174" s="68">
        <f t="shared" si="116"/>
        <v>3.8568822792384712</v>
      </c>
      <c r="AA174" s="68">
        <f t="shared" si="117"/>
        <v>3.5917691595293024</v>
      </c>
      <c r="AB174" s="118">
        <f t="shared" si="100"/>
        <v>3.724325719383887</v>
      </c>
      <c r="AD174" s="143">
        <f t="shared" si="101"/>
        <v>0.93713935357955869</v>
      </c>
      <c r="AE174" s="143">
        <f t="shared" si="102"/>
        <v>0.94738999637165866</v>
      </c>
      <c r="AF174" s="143">
        <f t="shared" si="103"/>
        <v>0.95809291881635483</v>
      </c>
    </row>
    <row r="175" spans="1:32" x14ac:dyDescent="0.25">
      <c r="A175" s="40">
        <v>187</v>
      </c>
      <c r="B175" s="64">
        <f t="shared" si="74"/>
        <v>143.05273684636995</v>
      </c>
      <c r="C175" s="64">
        <f t="shared" si="75"/>
        <v>134.07469478653985</v>
      </c>
      <c r="D175" s="116">
        <f t="shared" si="92"/>
        <v>138.5637158164549</v>
      </c>
      <c r="E175" s="65">
        <f t="shared" si="106"/>
        <v>3.0449675701582151</v>
      </c>
      <c r="F175" s="65">
        <f t="shared" si="107"/>
        <v>2.7760814842917734</v>
      </c>
      <c r="G175" s="116">
        <f t="shared" si="93"/>
        <v>2.910524527224994</v>
      </c>
      <c r="H175" s="65">
        <f t="shared" si="108"/>
        <v>3.4419944135862361</v>
      </c>
      <c r="I175" s="65">
        <f t="shared" si="109"/>
        <v>3.291583860764157</v>
      </c>
      <c r="J175" s="116">
        <f t="shared" si="94"/>
        <v>3.3667891371751963</v>
      </c>
      <c r="K175" s="66">
        <f t="shared" si="104"/>
        <v>140.03156970461322</v>
      </c>
      <c r="L175" s="66">
        <f t="shared" si="105"/>
        <v>132.67963326930379</v>
      </c>
      <c r="M175" s="66">
        <f t="shared" si="95"/>
        <v>136.35560148695851</v>
      </c>
      <c r="N175" s="69">
        <f t="shared" si="110"/>
        <v>3.1704819988523876</v>
      </c>
      <c r="O175" s="69">
        <f t="shared" si="111"/>
        <v>2.8872356255236289</v>
      </c>
      <c r="P175" s="123">
        <f t="shared" si="96"/>
        <v>3.028858812188008</v>
      </c>
      <c r="Q175" s="69">
        <f t="shared" si="112"/>
        <v>3.6598238669643415</v>
      </c>
      <c r="R175" s="69">
        <f t="shared" si="113"/>
        <v>3.4515025085301034</v>
      </c>
      <c r="S175" s="123">
        <f t="shared" si="97"/>
        <v>3.5556631877472222</v>
      </c>
      <c r="T175" s="67">
        <f t="shared" si="78"/>
        <v>137.01040256285646</v>
      </c>
      <c r="U175" s="67">
        <f t="shared" si="79"/>
        <v>131.28457175206773</v>
      </c>
      <c r="V175" s="119">
        <f t="shared" si="98"/>
        <v>134.14748715746208</v>
      </c>
      <c r="W175" s="68">
        <f t="shared" si="114"/>
        <v>3.2959964275465601</v>
      </c>
      <c r="X175" s="68">
        <f t="shared" si="115"/>
        <v>2.9983897667554844</v>
      </c>
      <c r="Y175" s="118">
        <f t="shared" si="99"/>
        <v>3.147193097151022</v>
      </c>
      <c r="Z175" s="68">
        <f t="shared" si="116"/>
        <v>3.8776533203424473</v>
      </c>
      <c r="AA175" s="68">
        <f t="shared" si="117"/>
        <v>3.6114211562960499</v>
      </c>
      <c r="AB175" s="118">
        <f t="shared" si="100"/>
        <v>3.7445372383192486</v>
      </c>
      <c r="AD175" s="143">
        <f t="shared" si="101"/>
        <v>0.93723963443305536</v>
      </c>
      <c r="AE175" s="143">
        <f t="shared" si="102"/>
        <v>0.94749800740777368</v>
      </c>
      <c r="AF175" s="143">
        <f t="shared" si="103"/>
        <v>0.95820878777316287</v>
      </c>
    </row>
    <row r="176" spans="1:32" x14ac:dyDescent="0.25">
      <c r="A176" s="40">
        <v>188</v>
      </c>
      <c r="B176" s="64">
        <f t="shared" ref="B176:B188" si="118">(1.599 + ((301.48 - 1.599)*(($A176/195.9)^2.2191)))/(1 + (($A176 / 195.9)^2.2191))</f>
        <v>143.93320926856165</v>
      </c>
      <c r="C176" s="64">
        <f t="shared" ref="C176:C188" si="119">(1.554 + ((312.3 - 1.554)*(($A176/214.74)^2.0789)))/( 1 + ($A176 / 214.74)^2.0789)</f>
        <v>134.91491728367095</v>
      </c>
      <c r="D176" s="116">
        <f t="shared" si="92"/>
        <v>139.4240632761163</v>
      </c>
      <c r="E176" s="65">
        <f t="shared" si="106"/>
        <v>3.0461365462389369</v>
      </c>
      <c r="F176" s="65">
        <f t="shared" si="107"/>
        <v>2.7804247569800546</v>
      </c>
      <c r="G176" s="116">
        <f t="shared" si="93"/>
        <v>2.9132806516094956</v>
      </c>
      <c r="H176" s="65">
        <f t="shared" si="108"/>
        <v>3.459661506099637</v>
      </c>
      <c r="I176" s="65">
        <f t="shared" si="109"/>
        <v>3.309152952311682</v>
      </c>
      <c r="J176" s="116">
        <f t="shared" si="94"/>
        <v>3.3844072292056593</v>
      </c>
      <c r="K176" s="66">
        <f t="shared" ref="K176:K188" si="120">(B176+T176)/2</f>
        <v>140.89481531870092</v>
      </c>
      <c r="L176" s="66">
        <f t="shared" ref="L176:L188" si="121">(C176+U176)/2</f>
        <v>133.51334460929138</v>
      </c>
      <c r="M176" s="66">
        <f t="shared" si="95"/>
        <v>137.20407996399615</v>
      </c>
      <c r="N176" s="69">
        <f t="shared" si="110"/>
        <v>3.1722204778984615</v>
      </c>
      <c r="O176" s="69">
        <f t="shared" si="111"/>
        <v>2.8920821017828162</v>
      </c>
      <c r="P176" s="123">
        <f t="shared" si="96"/>
        <v>3.0321512898406389</v>
      </c>
      <c r="Q176" s="69">
        <f t="shared" si="112"/>
        <v>3.6791399091996642</v>
      </c>
      <c r="R176" s="69">
        <f t="shared" si="113"/>
        <v>3.4701826068617203</v>
      </c>
      <c r="S176" s="123">
        <f t="shared" si="97"/>
        <v>3.5746612580306922</v>
      </c>
      <c r="T176" s="67">
        <f t="shared" ref="T176:T188" si="122">(1.599+((289.85-1.599)*(($A176/196.55)^2.2196)))/(1+(($A176 / 196.55)^2.2196))</f>
        <v>137.85642136884016</v>
      </c>
      <c r="U176" s="67">
        <f t="shared" ref="U176:U188" si="123">(1.554+((308.3-1.554)*(($A176/216.25)^2.0778)))/(1+($A176/216.25)^2.0778)</f>
        <v>132.11177193491184</v>
      </c>
      <c r="V176" s="119">
        <f t="shared" si="98"/>
        <v>134.984096651876</v>
      </c>
      <c r="W176" s="68">
        <f t="shared" si="114"/>
        <v>3.2983044095579865</v>
      </c>
      <c r="X176" s="68">
        <f t="shared" si="115"/>
        <v>3.0037394465855773</v>
      </c>
      <c r="Y176" s="118">
        <f t="shared" si="99"/>
        <v>3.1510219280717822</v>
      </c>
      <c r="Z176" s="68">
        <f t="shared" si="116"/>
        <v>3.8986183122996909</v>
      </c>
      <c r="AA176" s="68">
        <f t="shared" si="117"/>
        <v>3.6312122614117581</v>
      </c>
      <c r="AB176" s="118">
        <f t="shared" si="100"/>
        <v>3.7649152868557243</v>
      </c>
      <c r="AD176" s="143">
        <f t="shared" si="101"/>
        <v>0.93734391089645142</v>
      </c>
      <c r="AE176" s="143">
        <f t="shared" si="102"/>
        <v>0.94761006150075278</v>
      </c>
      <c r="AF176" s="143">
        <f t="shared" si="103"/>
        <v>0.95832874974638804</v>
      </c>
    </row>
    <row r="177" spans="1:32" x14ac:dyDescent="0.25">
      <c r="A177" s="40">
        <v>189</v>
      </c>
      <c r="B177" s="64">
        <f t="shared" si="118"/>
        <v>144.80948277468983</v>
      </c>
      <c r="C177" s="64">
        <f t="shared" si="119"/>
        <v>135.75195284828197</v>
      </c>
      <c r="D177" s="116">
        <f t="shared" si="92"/>
        <v>140.28071781148589</v>
      </c>
      <c r="E177" s="65">
        <f t="shared" ref="E177:E188" si="124" xml:space="preserve"> 3.0763 * (1-EXP(-(EXP(-5.0736)*($B176^1.3308))))</f>
        <v>3.0472589375442336</v>
      </c>
      <c r="F177" s="65">
        <f t="shared" ref="F177:F188" si="125" xml:space="preserve"> 3.1408 * (1-EXP(-(EXP(-3.5347)*($C176^0.8793))))</f>
        <v>2.7846970775344255</v>
      </c>
      <c r="G177" s="116">
        <f t="shared" si="93"/>
        <v>2.9159780075393296</v>
      </c>
      <c r="H177" s="65">
        <f t="shared" ref="H177:H188" si="126">E177/(B177-B176)</f>
        <v>3.4775203360975677</v>
      </c>
      <c r="I177" s="65">
        <f t="shared" ref="I177:I188" si="127">F177/(C177-C176)</f>
        <v>3.3268563431094811</v>
      </c>
      <c r="J177" s="116">
        <f t="shared" si="94"/>
        <v>3.4021883396035246</v>
      </c>
      <c r="K177" s="66">
        <f t="shared" si="120"/>
        <v>141.75396250391026</v>
      </c>
      <c r="L177" s="66">
        <f t="shared" si="121"/>
        <v>134.3439255491858</v>
      </c>
      <c r="M177" s="66">
        <f t="shared" si="95"/>
        <v>138.04894402654804</v>
      </c>
      <c r="N177" s="69">
        <f t="shared" ref="N177:N188" si="128">(E177+W177)/2</f>
        <v>3.1738974737822936</v>
      </c>
      <c r="O177" s="69">
        <f t="shared" ref="O177:O188" si="129">(F177+X177)/2</f>
        <v>2.8968502872788502</v>
      </c>
      <c r="P177" s="123">
        <f t="shared" si="96"/>
        <v>3.0353738805305719</v>
      </c>
      <c r="Q177" s="69">
        <f t="shared" ref="Q177:Q188" si="130">(H177+Z177)/2</f>
        <v>3.6986498513057411</v>
      </c>
      <c r="R177" s="69">
        <f t="shared" ref="R177:R188" si="131">(I177+AA177)/2</f>
        <v>3.4889999568545336</v>
      </c>
      <c r="S177" s="123">
        <f t="shared" si="97"/>
        <v>3.5938249040801376</v>
      </c>
      <c r="T177" s="67">
        <f t="shared" si="122"/>
        <v>138.69844223313072</v>
      </c>
      <c r="U177" s="67">
        <f t="shared" si="123"/>
        <v>132.93589825008962</v>
      </c>
      <c r="V177" s="119">
        <f t="shared" si="98"/>
        <v>135.81717024161017</v>
      </c>
      <c r="W177" s="68">
        <f t="shared" ref="W177:W188" si="132" xml:space="preserve"> 3.3719 * (1-EXP(-(EXP(-5.0674)*($T176^1.3026))))</f>
        <v>3.3005360100203531</v>
      </c>
      <c r="X177" s="68">
        <f t="shared" ref="X177:X188" si="133" xml:space="preserve"> 3.4467 * (1-EXP(-(EXP(-3.7929)*($U176^0.925))))</f>
        <v>3.0090034970232749</v>
      </c>
      <c r="Y177" s="118">
        <f t="shared" si="99"/>
        <v>3.1547697535218138</v>
      </c>
      <c r="Z177" s="68">
        <f t="shared" ref="Z177:Z188" si="134">W177/(T177-T176)</f>
        <v>3.9197793665139149</v>
      </c>
      <c r="AA177" s="68">
        <f t="shared" ref="AA177:AA188" si="135">X177/(U177-U176)</f>
        <v>3.6511435705995861</v>
      </c>
      <c r="AB177" s="118">
        <f t="shared" si="100"/>
        <v>3.7854614685567505</v>
      </c>
      <c r="AD177" s="143">
        <f t="shared" si="101"/>
        <v>0.93745209393157958</v>
      </c>
      <c r="AE177" s="143">
        <f t="shared" si="102"/>
        <v>0.94772606829583295</v>
      </c>
      <c r="AF177" s="143">
        <f t="shared" si="103"/>
        <v>0.95845271302070467</v>
      </c>
    </row>
    <row r="178" spans="1:32" x14ac:dyDescent="0.25">
      <c r="A178" s="40">
        <v>190</v>
      </c>
      <c r="B178" s="64">
        <f t="shared" si="118"/>
        <v>145.68153928524512</v>
      </c>
      <c r="C178" s="64">
        <f t="shared" si="119"/>
        <v>136.58578067429255</v>
      </c>
      <c r="D178" s="116">
        <f t="shared" si="92"/>
        <v>141.13365997976882</v>
      </c>
      <c r="E178" s="65">
        <f t="shared" si="124"/>
        <v>3.0483366402209042</v>
      </c>
      <c r="F178" s="65">
        <f t="shared" si="125"/>
        <v>2.7888996955419207</v>
      </c>
      <c r="G178" s="116">
        <f t="shared" si="93"/>
        <v>2.9186181678814123</v>
      </c>
      <c r="H178" s="65">
        <f t="shared" si="126"/>
        <v>3.4955723663823406</v>
      </c>
      <c r="I178" s="65">
        <f t="shared" si="127"/>
        <v>3.3446949220744102</v>
      </c>
      <c r="J178" s="116">
        <f t="shared" si="94"/>
        <v>3.4201336442283754</v>
      </c>
      <c r="K178" s="66">
        <f t="shared" si="120"/>
        <v>142.60899325872853</v>
      </c>
      <c r="L178" s="66">
        <f t="shared" si="121"/>
        <v>135.17135510924021</v>
      </c>
      <c r="M178" s="66">
        <f t="shared" si="95"/>
        <v>138.89017418398436</v>
      </c>
      <c r="N178" s="69">
        <f t="shared" si="128"/>
        <v>3.1755152230999504</v>
      </c>
      <c r="O178" s="69">
        <f t="shared" si="129"/>
        <v>2.9015415290913955</v>
      </c>
      <c r="P178" s="123">
        <f t="shared" si="96"/>
        <v>3.0385283760956732</v>
      </c>
      <c r="Q178" s="69">
        <f t="shared" si="130"/>
        <v>3.71835545759886</v>
      </c>
      <c r="R178" s="69">
        <f t="shared" si="131"/>
        <v>3.5079555458370022</v>
      </c>
      <c r="S178" s="123">
        <f t="shared" si="97"/>
        <v>3.6131555017179311</v>
      </c>
      <c r="T178" s="67">
        <f t="shared" si="122"/>
        <v>139.53644723221194</v>
      </c>
      <c r="U178" s="67">
        <f t="shared" si="123"/>
        <v>133.7569295441879</v>
      </c>
      <c r="V178" s="119">
        <f t="shared" si="98"/>
        <v>136.64668838819992</v>
      </c>
      <c r="W178" s="68">
        <f t="shared" si="132"/>
        <v>3.3026938059789965</v>
      </c>
      <c r="X178" s="68">
        <f t="shared" si="133"/>
        <v>3.0141833626408707</v>
      </c>
      <c r="Y178" s="118">
        <f t="shared" si="99"/>
        <v>3.1584385843099336</v>
      </c>
      <c r="Z178" s="68">
        <f t="shared" si="134"/>
        <v>3.941138548815379</v>
      </c>
      <c r="AA178" s="68">
        <f t="shared" si="135"/>
        <v>3.6712161695995942</v>
      </c>
      <c r="AB178" s="118">
        <f t="shared" si="100"/>
        <v>3.8061773592074868</v>
      </c>
      <c r="AD178" s="143">
        <f t="shared" si="101"/>
        <v>0.93756409593433088</v>
      </c>
      <c r="AE178" s="143">
        <f t="shared" si="102"/>
        <v>0.94784593888833801</v>
      </c>
      <c r="AF178" s="143">
        <f t="shared" si="103"/>
        <v>0.95858058734714691</v>
      </c>
    </row>
    <row r="179" spans="1:32" x14ac:dyDescent="0.25">
      <c r="A179" s="40">
        <v>191</v>
      </c>
      <c r="B179" s="64">
        <f t="shared" si="118"/>
        <v>146.54936186106221</v>
      </c>
      <c r="C179" s="64">
        <f t="shared" si="119"/>
        <v>137.41638082142228</v>
      </c>
      <c r="D179" s="116">
        <f t="shared" si="92"/>
        <v>141.98287134124223</v>
      </c>
      <c r="E179" s="65">
        <f t="shared" si="124"/>
        <v>3.0493714751062808</v>
      </c>
      <c r="F179" s="65">
        <f t="shared" si="125"/>
        <v>2.7930338401040773</v>
      </c>
      <c r="G179" s="116">
        <f t="shared" si="93"/>
        <v>2.9212026576051793</v>
      </c>
      <c r="H179" s="65">
        <f t="shared" si="126"/>
        <v>3.5138190225521453</v>
      </c>
      <c r="I179" s="65">
        <f t="shared" si="127"/>
        <v>3.3626695706181238</v>
      </c>
      <c r="J179" s="116">
        <f t="shared" si="94"/>
        <v>3.4382442965851343</v>
      </c>
      <c r="K179" s="66">
        <f t="shared" si="120"/>
        <v>143.45989069987715</v>
      </c>
      <c r="L179" s="66">
        <f t="shared" si="121"/>
        <v>135.99561316639989</v>
      </c>
      <c r="M179" s="66">
        <f t="shared" si="95"/>
        <v>139.72775193313851</v>
      </c>
      <c r="N179" s="69">
        <f t="shared" si="128"/>
        <v>3.1770758834290866</v>
      </c>
      <c r="O179" s="69">
        <f t="shared" si="129"/>
        <v>2.9061571533603372</v>
      </c>
      <c r="P179" s="123">
        <f t="shared" si="96"/>
        <v>3.0416165183947119</v>
      </c>
      <c r="Q179" s="69">
        <f t="shared" si="130"/>
        <v>3.7382584518062436</v>
      </c>
      <c r="R179" s="69">
        <f t="shared" si="131"/>
        <v>3.5270503525151087</v>
      </c>
      <c r="S179" s="123">
        <f t="shared" si="97"/>
        <v>3.6326544021606759</v>
      </c>
      <c r="T179" s="67">
        <f t="shared" si="122"/>
        <v>140.37041953869209</v>
      </c>
      <c r="U179" s="67">
        <f t="shared" si="123"/>
        <v>134.57484551137753</v>
      </c>
      <c r="V179" s="119">
        <f t="shared" si="98"/>
        <v>137.47263252503481</v>
      </c>
      <c r="W179" s="68">
        <f t="shared" si="132"/>
        <v>3.3047802917518925</v>
      </c>
      <c r="X179" s="68">
        <f t="shared" si="133"/>
        <v>3.0192804666165971</v>
      </c>
      <c r="Y179" s="118">
        <f t="shared" si="99"/>
        <v>3.1620303791842446</v>
      </c>
      <c r="Z179" s="68">
        <f t="shared" si="134"/>
        <v>3.9626978810603419</v>
      </c>
      <c r="AA179" s="68">
        <f t="shared" si="135"/>
        <v>3.691431134412094</v>
      </c>
      <c r="AB179" s="118">
        <f t="shared" si="100"/>
        <v>3.827064507736218</v>
      </c>
      <c r="AD179" s="143">
        <f t="shared" si="101"/>
        <v>0.93767983071602479</v>
      </c>
      <c r="AE179" s="143">
        <f t="shared" si="102"/>
        <v>0.9479695858050472</v>
      </c>
      <c r="AF179" s="143">
        <f t="shared" si="103"/>
        <v>0.95871228392448415</v>
      </c>
    </row>
    <row r="180" spans="1:32" x14ac:dyDescent="0.25">
      <c r="A180" s="40">
        <v>192</v>
      </c>
      <c r="B180" s="64">
        <f t="shared" si="118"/>
        <v>147.41293468041337</v>
      </c>
      <c r="C180" s="64">
        <f t="shared" si="119"/>
        <v>138.24373420080073</v>
      </c>
      <c r="D180" s="116">
        <f t="shared" si="92"/>
        <v>142.82833444060705</v>
      </c>
      <c r="E180" s="65">
        <f t="shared" si="124"/>
        <v>3.050365190439841</v>
      </c>
      <c r="F180" s="65">
        <f t="shared" si="125"/>
        <v>2.7971007200353051</v>
      </c>
      <c r="G180" s="116">
        <f t="shared" si="93"/>
        <v>2.9237329552375728</v>
      </c>
      <c r="H180" s="65">
        <f t="shared" si="126"/>
        <v>3.5322616947713859</v>
      </c>
      <c r="I180" s="65">
        <f t="shared" si="127"/>
        <v>3.3807811628649254</v>
      </c>
      <c r="J180" s="116">
        <f t="shared" si="94"/>
        <v>3.4565214288181556</v>
      </c>
      <c r="K180" s="66">
        <f t="shared" si="120"/>
        <v>144.30663903998277</v>
      </c>
      <c r="L180" s="66">
        <f t="shared" si="121"/>
        <v>136.81668044021964</v>
      </c>
      <c r="M180" s="66">
        <f t="shared" si="95"/>
        <v>140.56165974010122</v>
      </c>
      <c r="N180" s="69">
        <f t="shared" si="128"/>
        <v>3.1785815357838816</v>
      </c>
      <c r="O180" s="69">
        <f t="shared" si="129"/>
        <v>2.9106984654398502</v>
      </c>
      <c r="P180" s="123">
        <f t="shared" si="96"/>
        <v>3.0446400006118659</v>
      </c>
      <c r="Q180" s="69">
        <f t="shared" si="130"/>
        <v>3.7583605187322102</v>
      </c>
      <c r="R180" s="69">
        <f t="shared" si="131"/>
        <v>3.5462853472007483</v>
      </c>
      <c r="S180" s="123">
        <f t="shared" si="97"/>
        <v>3.652322932966479</v>
      </c>
      <c r="T180" s="67">
        <f t="shared" si="122"/>
        <v>141.2003433995522</v>
      </c>
      <c r="U180" s="67">
        <f t="shared" si="123"/>
        <v>135.38962667963855</v>
      </c>
      <c r="V180" s="119">
        <f t="shared" si="98"/>
        <v>138.29498503959536</v>
      </c>
      <c r="W180" s="68">
        <f t="shared" si="132"/>
        <v>3.3067978811279226</v>
      </c>
      <c r="X180" s="68">
        <f t="shared" si="133"/>
        <v>3.0242962108443954</v>
      </c>
      <c r="Y180" s="118">
        <f t="shared" si="99"/>
        <v>3.165547045986159</v>
      </c>
      <c r="Z180" s="68">
        <f t="shared" si="134"/>
        <v>3.9844593426930346</v>
      </c>
      <c r="AA180" s="68">
        <f t="shared" si="135"/>
        <v>3.7117895315365708</v>
      </c>
      <c r="AB180" s="118">
        <f t="shared" si="100"/>
        <v>3.8481244371148025</v>
      </c>
      <c r="AD180" s="143">
        <f t="shared" si="101"/>
        <v>0.93779921348495521</v>
      </c>
      <c r="AE180" s="143">
        <f t="shared" si="102"/>
        <v>0.9480969229857269</v>
      </c>
      <c r="AF180" s="143">
        <f t="shared" si="103"/>
        <v>0.95884771538075397</v>
      </c>
    </row>
    <row r="181" spans="1:32" x14ac:dyDescent="0.25">
      <c r="A181" s="40">
        <v>193</v>
      </c>
      <c r="B181" s="64">
        <f t="shared" si="118"/>
        <v>148.27224301625907</v>
      </c>
      <c r="C181" s="64">
        <f t="shared" si="119"/>
        <v>139.06782256064022</v>
      </c>
      <c r="D181" s="116">
        <f t="shared" si="92"/>
        <v>143.67003278844965</v>
      </c>
      <c r="E181" s="65">
        <f t="shared" si="124"/>
        <v>3.0513194645025528</v>
      </c>
      <c r="F181" s="65">
        <f t="shared" si="125"/>
        <v>2.8011015240673189</v>
      </c>
      <c r="G181" s="116">
        <f t="shared" si="93"/>
        <v>2.9262104942849358</v>
      </c>
      <c r="H181" s="65">
        <f t="shared" si="126"/>
        <v>3.5509017394781437</v>
      </c>
      <c r="I181" s="65">
        <f t="shared" si="127"/>
        <v>3.3990305658641837</v>
      </c>
      <c r="J181" s="116">
        <f t="shared" si="94"/>
        <v>3.4749661526711639</v>
      </c>
      <c r="K181" s="66">
        <f t="shared" si="120"/>
        <v>145.14922356539736</v>
      </c>
      <c r="L181" s="66">
        <f t="shared" si="121"/>
        <v>137.63453847883909</v>
      </c>
      <c r="M181" s="66">
        <f t="shared" si="95"/>
        <v>141.39188102211824</v>
      </c>
      <c r="N181" s="69">
        <f t="shared" si="128"/>
        <v>3.1800341870226596</v>
      </c>
      <c r="O181" s="69">
        <f t="shared" si="129"/>
        <v>2.9151667500612035</v>
      </c>
      <c r="P181" s="123">
        <f t="shared" si="96"/>
        <v>3.0476004685419316</v>
      </c>
      <c r="Q181" s="69">
        <f t="shared" si="130"/>
        <v>3.7786633058754857</v>
      </c>
      <c r="R181" s="69">
        <f t="shared" si="131"/>
        <v>3.5656614920346894</v>
      </c>
      <c r="S181" s="123">
        <f t="shared" si="97"/>
        <v>3.6721623989550878</v>
      </c>
      <c r="T181" s="67">
        <f t="shared" si="122"/>
        <v>142.02620411453566</v>
      </c>
      <c r="U181" s="67">
        <f t="shared" si="123"/>
        <v>136.20125439703799</v>
      </c>
      <c r="V181" s="119">
        <f t="shared" si="98"/>
        <v>139.11372925578684</v>
      </c>
      <c r="W181" s="68">
        <f t="shared" si="132"/>
        <v>3.3087489095427669</v>
      </c>
      <c r="X181" s="68">
        <f t="shared" si="133"/>
        <v>3.0292319760550885</v>
      </c>
      <c r="Y181" s="118">
        <f t="shared" si="99"/>
        <v>3.1689904427989277</v>
      </c>
      <c r="Z181" s="68">
        <f t="shared" si="134"/>
        <v>4.0064248722728273</v>
      </c>
      <c r="AA181" s="68">
        <f t="shared" si="135"/>
        <v>3.7322924182051951</v>
      </c>
      <c r="AB181" s="118">
        <f t="shared" si="100"/>
        <v>3.8693586452390112</v>
      </c>
      <c r="AD181" s="143">
        <f t="shared" si="101"/>
        <v>0.9379221608281092</v>
      </c>
      <c r="AE181" s="143">
        <f t="shared" si="102"/>
        <v>0.9482278657648312</v>
      </c>
      <c r="AF181" s="143">
        <f t="shared" si="103"/>
        <v>0.9589867957549566</v>
      </c>
    </row>
    <row r="182" spans="1:32" x14ac:dyDescent="0.25">
      <c r="A182" s="40">
        <v>194</v>
      </c>
      <c r="B182" s="64">
        <f t="shared" si="118"/>
        <v>149.12727321366421</v>
      </c>
      <c r="C182" s="64">
        <f t="shared" si="119"/>
        <v>139.88862847197689</v>
      </c>
      <c r="D182" s="116">
        <f t="shared" si="92"/>
        <v>144.50795084282055</v>
      </c>
      <c r="E182" s="65">
        <f t="shared" si="124"/>
        <v>3.0522359081836834</v>
      </c>
      <c r="F182" s="65">
        <f t="shared" si="125"/>
        <v>2.8050374210590716</v>
      </c>
      <c r="G182" s="116">
        <f t="shared" si="93"/>
        <v>2.9286366646213775</v>
      </c>
      <c r="H182" s="65">
        <f t="shared" si="126"/>
        <v>3.5697404810340645</v>
      </c>
      <c r="I182" s="65">
        <f t="shared" si="127"/>
        <v>3.4174186397989441</v>
      </c>
      <c r="J182" s="116">
        <f t="shared" si="94"/>
        <v>3.4935795604165043</v>
      </c>
      <c r="K182" s="66">
        <f t="shared" si="120"/>
        <v>145.98763061417645</v>
      </c>
      <c r="L182" s="66">
        <f t="shared" si="121"/>
        <v>138.44916964502119</v>
      </c>
      <c r="M182" s="66">
        <f t="shared" si="95"/>
        <v>142.21840012959882</v>
      </c>
      <c r="N182" s="69">
        <f t="shared" si="128"/>
        <v>3.1814357722066511</v>
      </c>
      <c r="O182" s="69">
        <f t="shared" si="129"/>
        <v>2.9195632715036508</v>
      </c>
      <c r="P182" s="123">
        <f t="shared" si="96"/>
        <v>3.0504995218551509</v>
      </c>
      <c r="Q182" s="69">
        <f t="shared" si="130"/>
        <v>3.7991684249990456</v>
      </c>
      <c r="R182" s="69">
        <f t="shared" si="131"/>
        <v>3.5851797412068995</v>
      </c>
      <c r="S182" s="123">
        <f t="shared" si="97"/>
        <v>3.6921740831029726</v>
      </c>
      <c r="T182" s="67">
        <f t="shared" si="122"/>
        <v>142.8479880146887</v>
      </c>
      <c r="U182" s="67">
        <f t="shared" si="123"/>
        <v>137.00971081806546</v>
      </c>
      <c r="V182" s="119">
        <f t="shared" si="98"/>
        <v>139.92884941637709</v>
      </c>
      <c r="W182" s="68">
        <f t="shared" si="132"/>
        <v>3.3106356362296188</v>
      </c>
      <c r="X182" s="68">
        <f t="shared" si="133"/>
        <v>3.0340891219482304</v>
      </c>
      <c r="Y182" s="118">
        <f t="shared" si="99"/>
        <v>3.1723623790889244</v>
      </c>
      <c r="Z182" s="68">
        <f t="shared" si="134"/>
        <v>4.0285963689640267</v>
      </c>
      <c r="AA182" s="68">
        <f t="shared" si="135"/>
        <v>3.7529408426148545</v>
      </c>
      <c r="AB182" s="118">
        <f t="shared" si="100"/>
        <v>3.8907686057894404</v>
      </c>
      <c r="AD182" s="143">
        <f t="shared" si="101"/>
        <v>0.93804859069306168</v>
      </c>
      <c r="AE182" s="143">
        <f t="shared" si="102"/>
        <v>0.94836233085337007</v>
      </c>
      <c r="AF182" s="143">
        <f t="shared" si="103"/>
        <v>0.95912944047890336</v>
      </c>
    </row>
    <row r="183" spans="1:32" x14ac:dyDescent="0.25">
      <c r="A183" s="40">
        <v>195</v>
      </c>
      <c r="B183" s="64">
        <f t="shared" si="118"/>
        <v>149.9780126673904</v>
      </c>
      <c r="C183" s="64">
        <f t="shared" si="119"/>
        <v>140.70613531448549</v>
      </c>
      <c r="D183" s="116">
        <f t="shared" si="92"/>
        <v>145.34207399093793</v>
      </c>
      <c r="E183" s="65">
        <f t="shared" si="124"/>
        <v>3.0531160674750679</v>
      </c>
      <c r="F183" s="65">
        <f t="shared" si="125"/>
        <v>2.808909560211696</v>
      </c>
      <c r="G183" s="116">
        <f t="shared" si="93"/>
        <v>2.931012813843382</v>
      </c>
      <c r="H183" s="65">
        <f t="shared" si="126"/>
        <v>3.5887792133097727</v>
      </c>
      <c r="I183" s="65">
        <f t="shared" si="127"/>
        <v>3.4359462381895889</v>
      </c>
      <c r="J183" s="116">
        <f t="shared" si="94"/>
        <v>3.5123627257496808</v>
      </c>
      <c r="K183" s="66">
        <f t="shared" si="120"/>
        <v>146.82184755422534</v>
      </c>
      <c r="L183" s="66">
        <f t="shared" si="121"/>
        <v>139.2605571022591</v>
      </c>
      <c r="M183" s="66">
        <f t="shared" si="95"/>
        <v>143.04120232824221</v>
      </c>
      <c r="N183" s="69">
        <f t="shared" si="128"/>
        <v>3.1827881569086323</v>
      </c>
      <c r="O183" s="69">
        <f t="shared" si="129"/>
        <v>2.9238892737727991</v>
      </c>
      <c r="P183" s="123">
        <f t="shared" si="96"/>
        <v>3.0533387153407157</v>
      </c>
      <c r="Q183" s="69">
        <f t="shared" si="130"/>
        <v>3.8198774536497631</v>
      </c>
      <c r="R183" s="69">
        <f t="shared" si="131"/>
        <v>3.6048410411707481</v>
      </c>
      <c r="S183" s="123">
        <f t="shared" si="97"/>
        <v>3.7123592474102556</v>
      </c>
      <c r="T183" s="67">
        <f t="shared" si="122"/>
        <v>143.66568244106028</v>
      </c>
      <c r="U183" s="67">
        <f t="shared" si="123"/>
        <v>137.81497889003271</v>
      </c>
      <c r="V183" s="119">
        <f t="shared" si="98"/>
        <v>140.74033066554648</v>
      </c>
      <c r="W183" s="68">
        <f t="shared" si="132"/>
        <v>3.312460246342197</v>
      </c>
      <c r="X183" s="68">
        <f t="shared" si="133"/>
        <v>3.0388689873339017</v>
      </c>
      <c r="Y183" s="118">
        <f t="shared" si="99"/>
        <v>3.1756646168380493</v>
      </c>
      <c r="Z183" s="68">
        <f t="shared" si="134"/>
        <v>4.050975693989753</v>
      </c>
      <c r="AA183" s="68">
        <f t="shared" si="135"/>
        <v>3.7737358441519073</v>
      </c>
      <c r="AB183" s="118">
        <f t="shared" si="100"/>
        <v>3.9123557690708299</v>
      </c>
      <c r="AD183" s="143">
        <f t="shared" si="101"/>
        <v>0.93817842237003524</v>
      </c>
      <c r="AE183" s="143">
        <f t="shared" si="102"/>
        <v>0.9485002363209355</v>
      </c>
      <c r="AF183" s="143">
        <f t="shared" si="103"/>
        <v>0.95927556635922528</v>
      </c>
    </row>
    <row r="184" spans="1:32" x14ac:dyDescent="0.25">
      <c r="A184" s="40">
        <v>196</v>
      </c>
      <c r="B184" s="64">
        <f t="shared" si="118"/>
        <v>150.82444979967113</v>
      </c>
      <c r="C184" s="64">
        <f t="shared" si="119"/>
        <v>141.5203272623732</v>
      </c>
      <c r="D184" s="116">
        <f t="shared" si="92"/>
        <v>146.17238853102216</v>
      </c>
      <c r="E184" s="65">
        <f t="shared" si="124"/>
        <v>3.0539614258930157</v>
      </c>
      <c r="F184" s="65">
        <f t="shared" si="125"/>
        <v>2.81271907128794</v>
      </c>
      <c r="G184" s="116">
        <f t="shared" si="93"/>
        <v>2.9333402485904778</v>
      </c>
      <c r="H184" s="65">
        <f t="shared" si="126"/>
        <v>3.6080192012182994</v>
      </c>
      <c r="I184" s="65">
        <f t="shared" si="127"/>
        <v>3.4546142080931861</v>
      </c>
      <c r="J184" s="116">
        <f t="shared" si="94"/>
        <v>3.531316704655743</v>
      </c>
      <c r="K184" s="66">
        <f t="shared" si="120"/>
        <v>147.65186276162044</v>
      </c>
      <c r="L184" s="66">
        <f t="shared" si="121"/>
        <v>140.06868480095736</v>
      </c>
      <c r="M184" s="66">
        <f t="shared" si="95"/>
        <v>143.8602737812889</v>
      </c>
      <c r="N184" s="69">
        <f t="shared" si="128"/>
        <v>3.1840931394704173</v>
      </c>
      <c r="O184" s="69">
        <f t="shared" si="129"/>
        <v>2.9281459807858594</v>
      </c>
      <c r="P184" s="123">
        <f t="shared" si="96"/>
        <v>3.0561195601281383</v>
      </c>
      <c r="Q184" s="69">
        <f t="shared" si="130"/>
        <v>3.8407919366342069</v>
      </c>
      <c r="R184" s="69">
        <f t="shared" si="131"/>
        <v>3.624646330854457</v>
      </c>
      <c r="S184" s="123">
        <f t="shared" si="97"/>
        <v>3.732719133744332</v>
      </c>
      <c r="T184" s="67">
        <f t="shared" si="122"/>
        <v>144.47927572356974</v>
      </c>
      <c r="U184" s="67">
        <f t="shared" si="123"/>
        <v>138.61704233954151</v>
      </c>
      <c r="V184" s="119">
        <f t="shared" si="98"/>
        <v>141.54815903155563</v>
      </c>
      <c r="W184" s="68">
        <f t="shared" si="132"/>
        <v>3.3142248530478184</v>
      </c>
      <c r="X184" s="68">
        <f t="shared" si="133"/>
        <v>3.0435728902837784</v>
      </c>
      <c r="Y184" s="118">
        <f t="shared" si="99"/>
        <v>3.1788988716657984</v>
      </c>
      <c r="Z184" s="68">
        <f t="shared" si="134"/>
        <v>4.0735646720501144</v>
      </c>
      <c r="AA184" s="68">
        <f t="shared" si="135"/>
        <v>3.7946784536157283</v>
      </c>
      <c r="AB184" s="118">
        <f t="shared" si="100"/>
        <v>3.9341215628329214</v>
      </c>
      <c r="AD184" s="143">
        <f t="shared" si="101"/>
        <v>0.93831157647413332</v>
      </c>
      <c r="AE184" s="143">
        <f t="shared" si="102"/>
        <v>0.94864150157789817</v>
      </c>
      <c r="AF184" s="143">
        <f t="shared" si="103"/>
        <v>0.95942509155953715</v>
      </c>
    </row>
    <row r="185" spans="1:32" x14ac:dyDescent="0.25">
      <c r="A185" s="40">
        <v>197</v>
      </c>
      <c r="B185" s="64">
        <f t="shared" si="118"/>
        <v>151.66657403817945</v>
      </c>
      <c r="C185" s="64">
        <f t="shared" si="119"/>
        <v>142.33118927035753</v>
      </c>
      <c r="D185" s="116">
        <f t="shared" si="92"/>
        <v>146.99888165426847</v>
      </c>
      <c r="E185" s="65">
        <f t="shared" si="124"/>
        <v>3.0547734068282395</v>
      </c>
      <c r="F185" s="65">
        <f t="shared" si="125"/>
        <v>2.8164670648356327</v>
      </c>
      <c r="G185" s="116">
        <f t="shared" si="93"/>
        <v>2.9356202358319363</v>
      </c>
      <c r="H185" s="65">
        <f t="shared" si="126"/>
        <v>3.6274616821851078</v>
      </c>
      <c r="I185" s="65">
        <f t="shared" si="127"/>
        <v>3.4734233902966065</v>
      </c>
      <c r="J185" s="116">
        <f t="shared" si="94"/>
        <v>3.5504425362408574</v>
      </c>
      <c r="K185" s="66">
        <f t="shared" si="120"/>
        <v>148.47766559911474</v>
      </c>
      <c r="L185" s="66">
        <f t="shared" si="121"/>
        <v>140.87353746469137</v>
      </c>
      <c r="M185" s="66">
        <f t="shared" si="95"/>
        <v>144.67560153190306</v>
      </c>
      <c r="N185" s="69">
        <f t="shared" si="128"/>
        <v>3.1853524532083934</v>
      </c>
      <c r="O185" s="69">
        <f t="shared" si="129"/>
        <v>2.9323345965632264</v>
      </c>
      <c r="P185" s="123">
        <f t="shared" si="96"/>
        <v>3.0588435248858099</v>
      </c>
      <c r="Q185" s="69">
        <f t="shared" si="130"/>
        <v>3.861913387443721</v>
      </c>
      <c r="R185" s="69">
        <f t="shared" si="131"/>
        <v>3.644596541866941</v>
      </c>
      <c r="S185" s="123">
        <f t="shared" si="97"/>
        <v>3.7532549646553308</v>
      </c>
      <c r="T185" s="67">
        <f t="shared" si="122"/>
        <v>145.28875716005007</v>
      </c>
      <c r="U185" s="67">
        <f t="shared" si="123"/>
        <v>139.41588565902524</v>
      </c>
      <c r="V185" s="119">
        <f t="shared" si="98"/>
        <v>142.35232140953764</v>
      </c>
      <c r="W185" s="68">
        <f t="shared" si="132"/>
        <v>3.3159314995885478</v>
      </c>
      <c r="X185" s="68">
        <f t="shared" si="133"/>
        <v>3.0482021282908205</v>
      </c>
      <c r="Y185" s="118">
        <f t="shared" si="99"/>
        <v>3.1820668139396844</v>
      </c>
      <c r="Z185" s="68">
        <f t="shared" si="134"/>
        <v>4.0963650927023343</v>
      </c>
      <c r="AA185" s="68">
        <f t="shared" si="135"/>
        <v>3.8157696934372756</v>
      </c>
      <c r="AB185" s="118">
        <f t="shared" si="100"/>
        <v>3.9560673930698051</v>
      </c>
      <c r="AD185" s="143">
        <f t="shared" si="101"/>
        <v>0.93844797492773924</v>
      </c>
      <c r="AE185" s="143">
        <f t="shared" si="102"/>
        <v>0.94878604735776018</v>
      </c>
      <c r="AF185" s="143">
        <f t="shared" si="103"/>
        <v>0.95957793558275617</v>
      </c>
    </row>
    <row r="186" spans="1:32" x14ac:dyDescent="0.25">
      <c r="A186" s="40">
        <v>198</v>
      </c>
      <c r="B186" s="64">
        <f t="shared" si="118"/>
        <v>152.50437579419406</v>
      </c>
      <c r="C186" s="64">
        <f t="shared" si="119"/>
        <v>143.1387070597327</v>
      </c>
      <c r="D186" s="116">
        <f t="shared" si="92"/>
        <v>147.82154142696339</v>
      </c>
      <c r="E186" s="65">
        <f t="shared" si="124"/>
        <v>3.0555533758243603</v>
      </c>
      <c r="F186" s="65">
        <f t="shared" si="125"/>
        <v>2.8201546324147513</v>
      </c>
      <c r="G186" s="116">
        <f t="shared" si="93"/>
        <v>2.937854004119556</v>
      </c>
      <c r="H186" s="65">
        <f t="shared" si="126"/>
        <v>3.6471078675694057</v>
      </c>
      <c r="I186" s="65">
        <f t="shared" si="127"/>
        <v>3.4923746195076353</v>
      </c>
      <c r="J186" s="116">
        <f t="shared" si="94"/>
        <v>3.5697412435385205</v>
      </c>
      <c r="K186" s="66">
        <f t="shared" si="120"/>
        <v>149.29924639483414</v>
      </c>
      <c r="L186" s="66">
        <f t="shared" si="121"/>
        <v>141.67510057655076</v>
      </c>
      <c r="M186" s="66">
        <f t="shared" si="95"/>
        <v>145.48717348569244</v>
      </c>
      <c r="N186" s="69">
        <f t="shared" si="128"/>
        <v>3.1865677685665221</v>
      </c>
      <c r="O186" s="69">
        <f t="shared" si="129"/>
        <v>2.9364563054258417</v>
      </c>
      <c r="P186" s="123">
        <f t="shared" si="96"/>
        <v>3.0615120369961817</v>
      </c>
      <c r="Q186" s="69">
        <f t="shared" si="130"/>
        <v>3.8832432896372384</v>
      </c>
      <c r="R186" s="69">
        <f t="shared" si="131"/>
        <v>3.6646925987001175</v>
      </c>
      <c r="S186" s="123">
        <f t="shared" si="97"/>
        <v>3.7739679441686782</v>
      </c>
      <c r="T186" s="67">
        <f t="shared" si="122"/>
        <v>146.09411699547425</v>
      </c>
      <c r="U186" s="67">
        <f t="shared" si="123"/>
        <v>140.21149409336883</v>
      </c>
      <c r="V186" s="119">
        <f t="shared" si="98"/>
        <v>143.15280554442154</v>
      </c>
      <c r="W186" s="68">
        <f t="shared" si="132"/>
        <v>3.317582161308684</v>
      </c>
      <c r="X186" s="68">
        <f t="shared" si="133"/>
        <v>3.0527579784369316</v>
      </c>
      <c r="Y186" s="118">
        <f t="shared" si="99"/>
        <v>3.1851700698728078</v>
      </c>
      <c r="Z186" s="68">
        <f t="shared" si="134"/>
        <v>4.1193787117050711</v>
      </c>
      <c r="AA186" s="68">
        <f t="shared" si="135"/>
        <v>3.8370105778925994</v>
      </c>
      <c r="AB186" s="118">
        <f t="shared" si="100"/>
        <v>3.978194644798835</v>
      </c>
      <c r="AD186" s="143">
        <f t="shared" si="101"/>
        <v>0.93858754094308472</v>
      </c>
      <c r="AE186" s="143">
        <f t="shared" si="102"/>
        <v>0.94893379569967351</v>
      </c>
      <c r="AF186" s="143">
        <f t="shared" si="103"/>
        <v>0.95973401925357704</v>
      </c>
    </row>
    <row r="187" spans="1:32" x14ac:dyDescent="0.25">
      <c r="A187" s="40">
        <v>199</v>
      </c>
      <c r="B187" s="64">
        <f t="shared" si="118"/>
        <v>153.33784644097247</v>
      </c>
      <c r="C187" s="64">
        <f t="shared" si="119"/>
        <v>143.94286710452923</v>
      </c>
      <c r="D187" s="116">
        <f t="shared" si="92"/>
        <v>148.64035677275086</v>
      </c>
      <c r="E187" s="65">
        <f t="shared" si="124"/>
        <v>3.0563026427856883</v>
      </c>
      <c r="F187" s="65">
        <f t="shared" si="125"/>
        <v>2.8237828468276338</v>
      </c>
      <c r="G187" s="116">
        <f t="shared" si="93"/>
        <v>2.9400427448066608</v>
      </c>
      <c r="H187" s="65">
        <f t="shared" si="126"/>
        <v>3.6669589440241612</v>
      </c>
      <c r="I187" s="65">
        <f t="shared" si="127"/>
        <v>3.5114687245399074</v>
      </c>
      <c r="J187" s="116">
        <f t="shared" si="94"/>
        <v>3.5892138342820346</v>
      </c>
      <c r="K187" s="66">
        <f t="shared" si="120"/>
        <v>150.11659642117198</v>
      </c>
      <c r="L187" s="66">
        <f t="shared" si="121"/>
        <v>142.47336036557044</v>
      </c>
      <c r="M187" s="66">
        <f t="shared" si="95"/>
        <v>146.2949783933712</v>
      </c>
      <c r="N187" s="69">
        <f t="shared" si="128"/>
        <v>3.1877406952163749</v>
      </c>
      <c r="O187" s="69">
        <f t="shared" si="129"/>
        <v>2.9405122721978296</v>
      </c>
      <c r="P187" s="123">
        <f t="shared" si="96"/>
        <v>3.0641264837071023</v>
      </c>
      <c r="Q187" s="69">
        <f t="shared" si="130"/>
        <v>3.9047830981752911</v>
      </c>
      <c r="R187" s="69">
        <f t="shared" si="131"/>
        <v>3.6849354189265711</v>
      </c>
      <c r="S187" s="123">
        <f t="shared" si="97"/>
        <v>3.7948592585509311</v>
      </c>
      <c r="T187" s="67">
        <f t="shared" si="122"/>
        <v>146.89534640137148</v>
      </c>
      <c r="U187" s="67">
        <f t="shared" si="123"/>
        <v>141.00385362661166</v>
      </c>
      <c r="V187" s="119">
        <f t="shared" si="98"/>
        <v>143.94960001399159</v>
      </c>
      <c r="W187" s="68">
        <f t="shared" si="132"/>
        <v>3.3191787476470611</v>
      </c>
      <c r="X187" s="68">
        <f t="shared" si="133"/>
        <v>3.0572416975680259</v>
      </c>
      <c r="Y187" s="118">
        <f t="shared" si="99"/>
        <v>3.1882102226075437</v>
      </c>
      <c r="Z187" s="68">
        <f t="shared" si="134"/>
        <v>4.142607252326421</v>
      </c>
      <c r="AA187" s="68">
        <f t="shared" si="135"/>
        <v>3.8584021133132347</v>
      </c>
      <c r="AB187" s="118">
        <f t="shared" si="100"/>
        <v>4.0005046828198276</v>
      </c>
      <c r="AD187" s="143">
        <f t="shared" si="101"/>
        <v>0.93873019900498045</v>
      </c>
      <c r="AE187" s="143">
        <f t="shared" si="102"/>
        <v>0.94908466993111529</v>
      </c>
      <c r="AF187" s="143">
        <f t="shared" si="103"/>
        <v>0.95989326470110137</v>
      </c>
    </row>
    <row r="188" spans="1:32" x14ac:dyDescent="0.25">
      <c r="A188" s="40">
        <v>200</v>
      </c>
      <c r="B188" s="64">
        <f t="shared" si="118"/>
        <v>154.16697829233632</v>
      </c>
      <c r="C188" s="64">
        <f t="shared" si="119"/>
        <v>144.74365661777091</v>
      </c>
      <c r="D188" s="116">
        <f t="shared" si="92"/>
        <v>149.4553174550536</v>
      </c>
      <c r="E188" s="65">
        <f t="shared" si="124"/>
        <v>3.0570224641151333</v>
      </c>
      <c r="F188" s="65">
        <f t="shared" si="125"/>
        <v>2.8273527623519739</v>
      </c>
      <c r="G188" s="116">
        <f t="shared" si="93"/>
        <v>2.9421876132335534</v>
      </c>
      <c r="H188" s="65">
        <f t="shared" si="126"/>
        <v>3.6870160748095495</v>
      </c>
      <c r="I188" s="65">
        <f t="shared" si="127"/>
        <v>3.5307065284940435</v>
      </c>
      <c r="J188" s="116">
        <f t="shared" si="94"/>
        <v>3.6088613016517965</v>
      </c>
      <c r="K188" s="66">
        <f t="shared" si="120"/>
        <v>150.92970787388788</v>
      </c>
      <c r="L188" s="66">
        <f t="shared" si="121"/>
        <v>143.26830379325406</v>
      </c>
      <c r="M188" s="66">
        <f t="shared" si="95"/>
        <v>147.09900583357097</v>
      </c>
      <c r="N188" s="69">
        <f t="shared" si="128"/>
        <v>3.1888727841040043</v>
      </c>
      <c r="O188" s="69">
        <f t="shared" si="129"/>
        <v>2.9445036424139328</v>
      </c>
      <c r="P188" s="123">
        <f t="shared" si="96"/>
        <v>3.0666882132589688</v>
      </c>
      <c r="Q188" s="69">
        <f t="shared" si="130"/>
        <v>3.9265342407134858</v>
      </c>
      <c r="R188" s="69">
        <f t="shared" si="131"/>
        <v>3.7053259133938004</v>
      </c>
      <c r="S188" s="123">
        <f t="shared" si="97"/>
        <v>3.8159300770536433</v>
      </c>
      <c r="T188" s="67">
        <f t="shared" si="122"/>
        <v>147.6924374554394</v>
      </c>
      <c r="U188" s="67">
        <f t="shared" si="123"/>
        <v>141.79295096873719</v>
      </c>
      <c r="V188" s="119">
        <f t="shared" si="98"/>
        <v>144.74269421208828</v>
      </c>
      <c r="W188" s="68">
        <f t="shared" si="132"/>
        <v>3.3207231040928753</v>
      </c>
      <c r="X188" s="68">
        <f t="shared" si="133"/>
        <v>3.0616545224758913</v>
      </c>
      <c r="Y188" s="118">
        <f t="shared" si="99"/>
        <v>3.1911888132843833</v>
      </c>
      <c r="Z188" s="68">
        <f t="shared" si="134"/>
        <v>4.166052406617422</v>
      </c>
      <c r="AA188" s="68">
        <f t="shared" si="135"/>
        <v>3.8799452982935572</v>
      </c>
      <c r="AB188" s="118">
        <f t="shared" si="100"/>
        <v>4.0229988524554896</v>
      </c>
      <c r="AD188" s="143">
        <f t="shared" si="101"/>
        <v>0.93887587485371471</v>
      </c>
      <c r="AE188" s="143">
        <f t="shared" si="102"/>
        <v>0.9492385946507268</v>
      </c>
      <c r="AF188" s="143">
        <f t="shared" si="103"/>
        <v>0.96005559534162221</v>
      </c>
    </row>
  </sheetData>
  <mergeCells count="14">
    <mergeCell ref="AD4:AF4"/>
    <mergeCell ref="B2:AA2"/>
    <mergeCell ref="H4:J4"/>
    <mergeCell ref="E4:G4"/>
    <mergeCell ref="B4:D4"/>
    <mergeCell ref="Z4:AB4"/>
    <mergeCell ref="W4:Y4"/>
    <mergeCell ref="T4:V4"/>
    <mergeCell ref="T3:AB3"/>
    <mergeCell ref="B3:J3"/>
    <mergeCell ref="K4:M4"/>
    <mergeCell ref="N4:P4"/>
    <mergeCell ref="K3:S3"/>
    <mergeCell ref="Q4:S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6B87F-6F14-460C-BC6D-045DE358AB00}">
  <sheetPr codeName="Sheet4"/>
  <dimension ref="B1:F5"/>
  <sheetViews>
    <sheetView showGridLines="0" showRowColHeaders="0" tabSelected="1" zoomScale="70" zoomScaleNormal="70" workbookViewId="0">
      <selection activeCell="U15" sqref="U15"/>
    </sheetView>
  </sheetViews>
  <sheetFormatPr defaultColWidth="8.85546875" defaultRowHeight="15" x14ac:dyDescent="0.25"/>
  <cols>
    <col min="1" max="1" width="22.28515625" bestFit="1" customWidth="1"/>
    <col min="2" max="6" width="8.85546875" style="71"/>
  </cols>
  <sheetData>
    <row r="1" spans="2:6" s="73" customFormat="1" ht="76.900000000000006" customHeight="1" x14ac:dyDescent="0.25">
      <c r="B1" s="72"/>
      <c r="C1" s="72"/>
      <c r="D1" s="72"/>
      <c r="E1" s="72"/>
      <c r="F1" s="72"/>
    </row>
    <row r="2" spans="2:6" s="73" customFormat="1" ht="24" customHeight="1" x14ac:dyDescent="0.25">
      <c r="B2" s="72"/>
      <c r="C2" s="72"/>
      <c r="D2" s="72"/>
      <c r="E2" s="72"/>
      <c r="F2" s="72"/>
    </row>
    <row r="3" spans="2:6" s="73" customFormat="1" ht="10.15" customHeight="1" x14ac:dyDescent="0.25">
      <c r="B3" s="72"/>
      <c r="C3" s="72"/>
      <c r="D3" s="72"/>
      <c r="E3" s="72"/>
      <c r="F3" s="72"/>
    </row>
    <row r="4" spans="2:6" s="73" customFormat="1" ht="10.15" customHeight="1" x14ac:dyDescent="0.25">
      <c r="B4" s="72"/>
      <c r="C4" s="72"/>
      <c r="D4" s="72"/>
      <c r="E4" s="72"/>
      <c r="F4" s="72"/>
    </row>
    <row r="5" spans="2:6" x14ac:dyDescent="0.25">
      <c r="B5" s="74"/>
    </row>
  </sheetData>
  <sheetProtection algorithmName="SHA-512" hashValue="wQmy2jzLtk9fpPk0vdnX9+e/LQgdJsk2pMuhz706MChTho93tgzNE0RZOm2BsnrMLO1RjHCGEsMf4PNBSt8+Hw==" saltValue="v5plaqc/fRXRdztyaznMwQ==" spinCount="100000" sheet="1" objects="1" scenario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89765-D362-4CC5-81E1-0AA58A35CE13}">
  <sheetPr codeName="Sheet5"/>
  <dimension ref="A1:R63"/>
  <sheetViews>
    <sheetView showGridLines="0" showRowColHeaders="0" zoomScale="80" zoomScaleNormal="80" workbookViewId="0">
      <selection activeCell="D33" sqref="D33"/>
    </sheetView>
  </sheetViews>
  <sheetFormatPr defaultColWidth="9.140625" defaultRowHeight="15" x14ac:dyDescent="0.25"/>
  <cols>
    <col min="1" max="1" width="9.140625" style="9"/>
    <col min="2" max="2" width="29.7109375" style="9" bestFit="1" customWidth="1"/>
    <col min="3" max="6" width="14" style="9" customWidth="1"/>
    <col min="7" max="10" width="13" style="9" customWidth="1"/>
    <col min="11" max="12" width="9.140625" style="9" customWidth="1"/>
    <col min="13" max="14" width="9.140625" style="9" hidden="1" customWidth="1"/>
    <col min="15" max="16" width="16.85546875" style="9" hidden="1" customWidth="1"/>
    <col min="17" max="17" width="9.140625" style="9" customWidth="1"/>
    <col min="18" max="16384" width="9.140625" style="9"/>
  </cols>
  <sheetData>
    <row r="1" spans="2:15" s="7" customFormat="1" ht="121.9" customHeight="1" x14ac:dyDescent="0.25">
      <c r="C1" s="8"/>
      <c r="D1" s="8"/>
      <c r="E1" s="8"/>
      <c r="F1" s="8"/>
      <c r="G1" s="8"/>
    </row>
    <row r="2" spans="2:15" s="7" customFormat="1" ht="15" customHeight="1" thickBot="1" x14ac:dyDescent="0.3">
      <c r="B2" s="49" t="s">
        <v>131</v>
      </c>
      <c r="C2" s="47"/>
      <c r="D2" s="47"/>
      <c r="E2" s="47"/>
      <c r="F2" s="47"/>
      <c r="G2" s="47"/>
      <c r="H2" s="48"/>
      <c r="I2" s="48"/>
      <c r="J2" s="48"/>
    </row>
    <row r="3" spans="2:15" s="7" customFormat="1" ht="15" customHeight="1" x14ac:dyDescent="0.25">
      <c r="B3" s="75"/>
      <c r="C3" s="79" t="s">
        <v>132</v>
      </c>
      <c r="D3" s="76"/>
      <c r="E3" s="76"/>
      <c r="F3" s="76"/>
      <c r="G3" s="76"/>
      <c r="H3" s="77"/>
      <c r="I3" s="77"/>
      <c r="J3" s="77"/>
    </row>
    <row r="4" spans="2:15" s="7" customFormat="1" ht="15" hidden="1" customHeight="1" x14ac:dyDescent="0.25">
      <c r="B4" s="56" t="s">
        <v>133</v>
      </c>
      <c r="C4" s="205" t="s">
        <v>144</v>
      </c>
      <c r="D4" s="76"/>
      <c r="E4" s="76"/>
      <c r="F4" s="76"/>
      <c r="G4" s="76"/>
      <c r="H4" s="77"/>
      <c r="I4" s="77"/>
      <c r="J4" s="77"/>
    </row>
    <row r="5" spans="2:15" ht="15" customHeight="1" x14ac:dyDescent="0.35">
      <c r="B5" s="56" t="s">
        <v>143</v>
      </c>
      <c r="C5" s="160">
        <v>21</v>
      </c>
      <c r="D5" s="10"/>
      <c r="E5" s="10"/>
      <c r="F5" s="10"/>
      <c r="G5" s="15"/>
      <c r="H5" s="16"/>
      <c r="I5" s="15"/>
      <c r="J5" s="15"/>
      <c r="N5" s="10"/>
      <c r="O5" s="10"/>
    </row>
    <row r="6" spans="2:15" ht="14.25" hidden="1" customHeight="1" x14ac:dyDescent="0.35">
      <c r="B6" s="56" t="s">
        <v>59</v>
      </c>
      <c r="C6" s="188" t="s">
        <v>60</v>
      </c>
      <c r="D6" s="10"/>
      <c r="E6" s="10"/>
      <c r="F6" s="10"/>
      <c r="G6" s="15"/>
      <c r="H6" s="16"/>
      <c r="I6" s="15"/>
      <c r="J6" s="15"/>
      <c r="N6" s="10"/>
      <c r="O6" s="10"/>
    </row>
    <row r="7" spans="2:15" ht="14.25" hidden="1" customHeight="1" x14ac:dyDescent="0.35">
      <c r="B7" s="56" t="s">
        <v>100</v>
      </c>
      <c r="C7" s="188">
        <v>0.12</v>
      </c>
      <c r="D7" s="10"/>
      <c r="E7" s="10"/>
      <c r="F7" s="10"/>
      <c r="G7" s="15"/>
      <c r="H7" s="16"/>
      <c r="I7" s="15"/>
      <c r="J7" s="15"/>
      <c r="N7" s="10"/>
      <c r="O7" s="10"/>
    </row>
    <row r="8" spans="2:15" ht="14.25" hidden="1" customHeight="1" x14ac:dyDescent="0.35">
      <c r="B8" s="56" t="str">
        <f>IF($C$6="Live",IF($C$4="Imperial","Live pig price, $/lb","Live pig price, $/kg"),IF($C$4="Imperial","Carcass price, $/lb","Carcass price, $/kg"))</f>
        <v>Carcass price, $/kg</v>
      </c>
      <c r="C8" s="188">
        <v>0.56000000000000005</v>
      </c>
      <c r="D8" s="10"/>
      <c r="E8" s="10"/>
      <c r="F8" s="10"/>
      <c r="G8" s="15"/>
      <c r="H8" s="16"/>
      <c r="I8" s="15"/>
      <c r="J8" s="15"/>
      <c r="N8" s="10"/>
      <c r="O8" s="10"/>
    </row>
    <row r="9" spans="2:15" ht="14.25" hidden="1" customHeight="1" x14ac:dyDescent="0.35">
      <c r="B9" s="56" t="str">
        <f>IF(C6="Carcass", "Current carcass yield, %","")</f>
        <v>Current carcass yield, %</v>
      </c>
      <c r="C9" s="187">
        <v>75</v>
      </c>
      <c r="D9" s="10"/>
      <c r="E9" s="10"/>
      <c r="F9" s="10"/>
      <c r="G9" s="15"/>
      <c r="H9" s="16"/>
      <c r="I9" s="15"/>
      <c r="J9" s="15"/>
      <c r="N9" s="10"/>
      <c r="O9" s="10"/>
    </row>
    <row r="10" spans="2:15" s="7" customFormat="1" ht="13.5" hidden="1" customHeight="1" x14ac:dyDescent="0.25">
      <c r="D10" s="8"/>
      <c r="E10" s="8"/>
      <c r="F10" s="8"/>
      <c r="G10" s="8"/>
    </row>
    <row r="11" spans="2:15" s="7" customFormat="1" ht="13.9" hidden="1" customHeight="1" x14ac:dyDescent="0.35">
      <c r="C11" s="224" t="s">
        <v>68</v>
      </c>
      <c r="D11" s="224"/>
      <c r="E11" s="224"/>
      <c r="F11" s="224"/>
      <c r="G11" s="15"/>
      <c r="H11" s="16"/>
      <c r="I11" s="15"/>
    </row>
    <row r="12" spans="2:15" s="7" customFormat="1" ht="15" hidden="1" customHeight="1" x14ac:dyDescent="0.35">
      <c r="C12" s="196" t="s">
        <v>67</v>
      </c>
      <c r="D12" s="196" t="s">
        <v>32</v>
      </c>
      <c r="E12" s="196" t="s">
        <v>33</v>
      </c>
      <c r="F12" s="196" t="s">
        <v>66</v>
      </c>
      <c r="G12" s="15"/>
      <c r="H12" s="16"/>
      <c r="I12" s="15"/>
      <c r="J12" s="78"/>
      <c r="M12" s="79" t="s">
        <v>32</v>
      </c>
      <c r="N12" s="79" t="s">
        <v>33</v>
      </c>
      <c r="O12" s="79" t="s">
        <v>66</v>
      </c>
    </row>
    <row r="13" spans="2:15" ht="14.25" customHeight="1" x14ac:dyDescent="0.35">
      <c r="B13" s="55" t="s">
        <v>136</v>
      </c>
      <c r="C13" s="160">
        <v>850</v>
      </c>
      <c r="D13" s="202">
        <f>IF($C$4="Metric",'Adj-Barrows'!$B$6,('Adj-Barrows'!$B$6*2.204622/1000))</f>
        <v>1.9393508159504698</v>
      </c>
      <c r="E13" s="202">
        <f>IF($C$4="Metric",'Adj-Gilts'!$B$6,('Adj-Gilts'!$B$6*2.204622/1000))</f>
        <v>1.8085065840495307</v>
      </c>
      <c r="F13" s="202">
        <f>AVERAGE(D13:E13)</f>
        <v>1.8739287000000002</v>
      </c>
      <c r="G13" s="15"/>
      <c r="H13" s="16"/>
      <c r="I13" s="15"/>
      <c r="J13" s="15"/>
      <c r="M13" s="189">
        <f>'Adj-Barrows'!B6*2.204622/1000</f>
        <v>1.9393508159504698</v>
      </c>
      <c r="N13" s="189">
        <f>'Adj-Gilts'!B6*2.204622/1000</f>
        <v>1.8085065840495307</v>
      </c>
      <c r="O13" s="189">
        <f>AVERAGE(M13:N13)</f>
        <v>1.8739287000000002</v>
      </c>
    </row>
    <row r="14" spans="2:15" ht="14.25" customHeight="1" x14ac:dyDescent="0.35">
      <c r="B14" s="55" t="s">
        <v>134</v>
      </c>
      <c r="C14" s="159">
        <v>2.4300000000000002</v>
      </c>
      <c r="D14" s="202">
        <f>'Adj-Barrows'!$B$8</f>
        <v>2.4937441944401106</v>
      </c>
      <c r="E14" s="202">
        <f>'Adj-Gilts'!$B$8</f>
        <v>2.361643956074118</v>
      </c>
      <c r="F14" s="202">
        <f>AVERAGE(D14:E14)</f>
        <v>2.4276940752571141</v>
      </c>
      <c r="G14" s="15"/>
      <c r="H14" s="16"/>
      <c r="I14" s="17"/>
      <c r="J14" s="15"/>
      <c r="M14" s="189">
        <f>'Adj-Barrows'!B8</f>
        <v>2.4937441944401106</v>
      </c>
      <c r="N14" s="189">
        <f>'Adj-Gilts'!B8</f>
        <v>2.361643956074118</v>
      </c>
      <c r="O14" s="189">
        <f>AVERAGE(M14:N14)</f>
        <v>2.4276940752571141</v>
      </c>
    </row>
    <row r="15" spans="2:15" ht="14.25" hidden="1" customHeight="1" x14ac:dyDescent="0.35">
      <c r="B15" s="55" t="s">
        <v>104</v>
      </c>
      <c r="C15" s="190">
        <f>'Adj-Mixed'!B33</f>
        <v>16.2</v>
      </c>
      <c r="D15" s="201">
        <f>'Adj-Mixed'!C33</f>
        <v>16.2</v>
      </c>
      <c r="E15" s="201">
        <f>'Adj-Mixed'!D33</f>
        <v>16.2</v>
      </c>
      <c r="F15" s="201">
        <f>AVERAGE(D15:E15)</f>
        <v>16.2</v>
      </c>
      <c r="G15" s="15"/>
      <c r="H15" s="16"/>
      <c r="I15" s="17"/>
      <c r="J15" s="15"/>
      <c r="N15" s="10"/>
      <c r="O15" s="10"/>
    </row>
    <row r="16" spans="2:15" ht="14.25" hidden="1" customHeight="1" x14ac:dyDescent="0.35">
      <c r="B16" s="55" t="s">
        <v>105</v>
      </c>
      <c r="C16" s="190">
        <f>'Adj-Mixed'!B34</f>
        <v>50.400000000000006</v>
      </c>
      <c r="D16" s="189">
        <f>'Adj-Mixed'!C34</f>
        <v>52.024918493728542</v>
      </c>
      <c r="E16" s="189">
        <f>'Adj-Mixed'!D34</f>
        <v>51.56616466961794</v>
      </c>
      <c r="F16" s="189">
        <f t="shared" ref="F16" si="0">AVERAGE(D16:E16)</f>
        <v>51.795541581673241</v>
      </c>
      <c r="G16" s="15"/>
      <c r="H16" s="16"/>
      <c r="I16" s="17"/>
      <c r="J16" s="15"/>
      <c r="N16" s="10"/>
      <c r="O16" s="10"/>
    </row>
    <row r="17" spans="2:16" ht="14.25" hidden="1" customHeight="1" x14ac:dyDescent="0.35">
      <c r="B17" s="55" t="s">
        <v>64</v>
      </c>
      <c r="C17" s="191">
        <f>'Adj-Mixed'!B35</f>
        <v>50.400000000000006</v>
      </c>
      <c r="D17" s="191">
        <f>'Adj-Mixed'!C35</f>
        <v>52.024918493728542</v>
      </c>
      <c r="E17" s="191">
        <f>'Adj-Mixed'!D35</f>
        <v>51.56616466961794</v>
      </c>
      <c r="F17" s="189">
        <f>AVERAGE(D17:E17)</f>
        <v>51.795541581673241</v>
      </c>
      <c r="G17" s="15"/>
      <c r="H17" s="16"/>
      <c r="I17" s="17"/>
      <c r="J17" s="15"/>
      <c r="N17" s="10"/>
      <c r="O17" s="10"/>
    </row>
    <row r="18" spans="2:16" ht="14.25" hidden="1" customHeight="1" x14ac:dyDescent="0.35">
      <c r="B18" s="55" t="s">
        <v>101</v>
      </c>
      <c r="C18" s="191">
        <f>'Adj-Mixed'!B36</f>
        <v>34.200000000000003</v>
      </c>
      <c r="D18" s="191">
        <f>'Adj-Mixed'!C36</f>
        <v>35.824918493728546</v>
      </c>
      <c r="E18" s="191">
        <f>'Adj-Mixed'!D36</f>
        <v>35.366164669617945</v>
      </c>
      <c r="F18" s="189">
        <f>AVERAGE(D18:E18)</f>
        <v>35.595541581673245</v>
      </c>
      <c r="G18" s="15"/>
      <c r="H18" s="16"/>
      <c r="I18" s="17"/>
      <c r="J18" s="15"/>
      <c r="N18" s="10"/>
      <c r="O18" s="10"/>
    </row>
    <row r="19" spans="2:16" s="7" customFormat="1" ht="13.5" customHeight="1" x14ac:dyDescent="0.25">
      <c r="D19" s="8"/>
      <c r="E19" s="8"/>
      <c r="F19" s="8"/>
      <c r="G19" s="8"/>
    </row>
    <row r="20" spans="2:16" s="7" customFormat="1" ht="13.5" customHeight="1" x14ac:dyDescent="0.25">
      <c r="B20" s="43" t="s">
        <v>132</v>
      </c>
      <c r="D20" s="8"/>
      <c r="E20" s="8"/>
      <c r="F20" s="8"/>
      <c r="G20" s="8"/>
      <c r="O20" s="7" t="s">
        <v>121</v>
      </c>
      <c r="P20" s="78">
        <f>IF($C$4=$O$20,1,2)</f>
        <v>2</v>
      </c>
    </row>
    <row r="21" spans="2:16" x14ac:dyDescent="0.25">
      <c r="B21" s="45" t="s">
        <v>142</v>
      </c>
      <c r="C21" s="158">
        <v>3355</v>
      </c>
      <c r="D21" s="158">
        <v>3355</v>
      </c>
      <c r="E21" s="158">
        <v>3355</v>
      </c>
      <c r="F21" s="158">
        <v>3355</v>
      </c>
      <c r="G21" s="158">
        <v>3355</v>
      </c>
      <c r="H21" s="158">
        <v>3355</v>
      </c>
      <c r="I21" s="158">
        <v>3355</v>
      </c>
      <c r="J21" s="158">
        <v>3355</v>
      </c>
      <c r="O21" s="9" t="s">
        <v>122</v>
      </c>
    </row>
    <row r="22" spans="2:16" hidden="1" x14ac:dyDescent="0.25">
      <c r="B22" s="45" t="s">
        <v>63</v>
      </c>
      <c r="C22" s="204"/>
      <c r="D22" s="204"/>
      <c r="E22" s="204"/>
      <c r="F22" s="204"/>
      <c r="G22" s="204"/>
      <c r="H22" s="204"/>
      <c r="I22" s="204"/>
      <c r="J22" s="204"/>
      <c r="M22" s="33"/>
      <c r="N22" s="33"/>
      <c r="O22" s="33"/>
    </row>
    <row r="23" spans="2:16" x14ac:dyDescent="0.25">
      <c r="B23" s="45" t="s">
        <v>141</v>
      </c>
      <c r="C23" s="185">
        <v>6</v>
      </c>
      <c r="D23" s="185">
        <v>8</v>
      </c>
      <c r="E23" s="185">
        <v>12</v>
      </c>
      <c r="F23" s="185">
        <v>25</v>
      </c>
      <c r="G23" s="185">
        <v>45</v>
      </c>
      <c r="H23" s="185">
        <v>70</v>
      </c>
      <c r="I23" s="185">
        <v>95</v>
      </c>
      <c r="J23" s="185">
        <v>110</v>
      </c>
    </row>
    <row r="24" spans="2:16" x14ac:dyDescent="0.25">
      <c r="B24" s="45" t="s">
        <v>140</v>
      </c>
      <c r="C24" s="185">
        <v>8</v>
      </c>
      <c r="D24" s="185">
        <v>12</v>
      </c>
      <c r="E24" s="185">
        <v>25</v>
      </c>
      <c r="F24" s="185">
        <v>45</v>
      </c>
      <c r="G24" s="185">
        <v>70</v>
      </c>
      <c r="H24" s="185">
        <v>95</v>
      </c>
      <c r="I24" s="185">
        <v>110</v>
      </c>
      <c r="J24" s="185">
        <v>120</v>
      </c>
      <c r="O24" s="81"/>
    </row>
    <row r="25" spans="2:16" hidden="1" x14ac:dyDescent="0.25">
      <c r="B25" s="9" t="s">
        <v>50</v>
      </c>
      <c r="C25" s="13">
        <f>IFERROR('I-Mixed'!C27,"")</f>
        <v>4.217978486308712</v>
      </c>
      <c r="D25" s="13">
        <f>IFERROR('I-Mixed'!D27,"")</f>
        <v>4.1271493911152417</v>
      </c>
      <c r="E25" s="13">
        <f>IFERROR('I-Mixed'!E27,"")</f>
        <v>3.8714756818278842</v>
      </c>
      <c r="F25" s="13">
        <f>IFERROR('I-Mixed'!F27,"")</f>
        <v>3.4089410811314154</v>
      </c>
      <c r="G25" s="13">
        <f>IFERROR('I-Mixed'!G27,"")</f>
        <v>2.7812159671158732</v>
      </c>
      <c r="H25" s="13">
        <f>IFERROR('I-Mixed'!H27,"")</f>
        <v>2.3329941456742351</v>
      </c>
      <c r="I25" s="13">
        <f>IFERROR('I-Mixed'!I27,"")</f>
        <v>2.1173460989852604</v>
      </c>
      <c r="J25" s="13">
        <f>IFERROR('I-Mixed'!J27,"")</f>
        <v>2.0266367252925752</v>
      </c>
    </row>
    <row r="26" spans="2:16" hidden="1" x14ac:dyDescent="0.25">
      <c r="B26" s="9" t="s">
        <v>51</v>
      </c>
      <c r="C26" s="13">
        <f>IFERROR('I-Mixed'!C28,"")</f>
        <v>4.217978486308712</v>
      </c>
      <c r="D26" s="13">
        <f>IFERROR('I-Mixed'!D28,"")</f>
        <v>4.1271493911152417</v>
      </c>
      <c r="E26" s="13">
        <f>IFERROR('I-Mixed'!E28,"")</f>
        <v>3.8714756818278842</v>
      </c>
      <c r="F26" s="13">
        <f>IFERROR('I-Mixed'!F28,"")</f>
        <v>3.4089410811314154</v>
      </c>
      <c r="G26" s="13">
        <f>IFERROR('I-Mixed'!G28,"")</f>
        <v>2.9666277098215632</v>
      </c>
      <c r="H26" s="13">
        <f>IFERROR('I-Mixed'!H28,"")</f>
        <v>2.5256539922703278</v>
      </c>
      <c r="I26" s="13">
        <f>IFERROR('I-Mixed'!I28,"")</f>
        <v>2.2728767972635637</v>
      </c>
      <c r="J26" s="13">
        <f>IFERROR('I-Mixed'!J28,"")</f>
        <v>2.1663270291462062</v>
      </c>
    </row>
    <row r="27" spans="2:16" hidden="1" x14ac:dyDescent="0.25">
      <c r="B27" s="9" t="s">
        <v>8</v>
      </c>
      <c r="C27" s="13">
        <f>IFERROR('I-Mixed'!C29,"")</f>
        <v>5.6764503697571929</v>
      </c>
      <c r="D27" s="13">
        <f>IFERROR('I-Mixed'!D29,"")</f>
        <v>5.579605147996948</v>
      </c>
      <c r="E27" s="13">
        <f>IFERROR('I-Mixed'!E29,"")</f>
        <v>5.3034733959479379</v>
      </c>
      <c r="F27" s="13">
        <f>IFERROR('I-Mixed'!F29,"")</f>
        <v>4.7925386562624075</v>
      </c>
      <c r="G27" s="13">
        <f>IFERROR('I-Mixed'!G29,"")</f>
        <v>4.1931471391682944</v>
      </c>
      <c r="H27" s="13">
        <f>IFERROR('I-Mixed'!H29,"")</f>
        <v>3.7181885203903429</v>
      </c>
      <c r="I27" s="13">
        <f>IFERROR('I-Mixed'!I29,"")</f>
        <v>3.5187159794582707</v>
      </c>
      <c r="J27" s="13">
        <f>IFERROR('I-Mixed'!J29,"")</f>
        <v>3.4792370542636184</v>
      </c>
    </row>
    <row r="28" spans="2:16" x14ac:dyDescent="0.25">
      <c r="B28" s="45" t="s">
        <v>139</v>
      </c>
      <c r="C28" s="13">
        <f>IF(C21&gt;0,IF(C24&lt;$B$60,((C33*10)/(IF($C$4=$O$20,(C21*2.204622/1000),C21/1000))),'I-Mixed'!C30),"")</f>
        <v>4.2324888226527566</v>
      </c>
      <c r="D28" s="13">
        <f>IF(D21&gt;0,IF(D24&lt;$B$60,((D33*10)/(IF($C$4=$O$20,(D21*2.204622/1000),D21/1000))),'I-Mixed'!D30),"")</f>
        <v>4.1271493911152417</v>
      </c>
      <c r="E28" s="13">
        <f>IF(E21&gt;0,IF(E24&lt;$B$60,((E33*10)/(IF($C$4=$O$20,(E21*2.204622/1000),E21/1000))),'I-Mixed'!E30),"")</f>
        <v>3.8714756818278842</v>
      </c>
      <c r="F28" s="13">
        <f>IF(F21&gt;0,IF(F24&lt;$B$60,((F33*10)/(IF($C$4=$O$20,(F21*2.204622/1000),F21/1000))),'I-Mixed'!F30),"")</f>
        <v>3.4089410811314154</v>
      </c>
      <c r="G28" s="13">
        <f>IF(G21&gt;0,IF(G24&lt;$B$60,((G33*10)/(IF($C$4=$O$20,(G21*2.204622/1000),G21/1000))),'I-Mixed'!G30),"")</f>
        <v>2.8739218384687182</v>
      </c>
      <c r="H28" s="13">
        <f>IF(H21&gt;0,IF(H24&lt;$B$60,((H33*10)/(IF($C$4=$O$20,(H21*2.204622/1000),H21/1000))),'I-Mixed'!H30),"")</f>
        <v>2.4293240689722815</v>
      </c>
      <c r="I28" s="13">
        <f>IF(I21&gt;0,IF(I24&lt;$B$60,((I33*10)/(IF($C$4=$O$20,(I21*2.204622/1000),I21/1000))),'I-Mixed'!I30),"")</f>
        <v>2.1951114481244121</v>
      </c>
      <c r="J28" s="13">
        <f>IF(J21&gt;0,IF(J24&lt;$B$60,((J33*10)/(IF($C$4=$O$20,(J21*2.204622/1000),J21/1000))),'I-Mixed'!J30),"")</f>
        <v>2.0964818772193907</v>
      </c>
    </row>
    <row r="29" spans="2:16" hidden="1" x14ac:dyDescent="0.25">
      <c r="B29" s="45" t="s">
        <v>10</v>
      </c>
      <c r="C29" s="13">
        <f>IFERROR('I-Mixed'!C31,"")</f>
        <v>3.6133593756113158</v>
      </c>
      <c r="D29" s="13">
        <f>IFERROR('I-Mixed'!D31,"")</f>
        <v>3.5574129913440284</v>
      </c>
      <c r="E29" s="13">
        <f>IFERROR('I-Mixed'!E31,"")</f>
        <v>3.4594096944510664</v>
      </c>
      <c r="F29" s="13">
        <f>IFERROR('I-Mixed'!F31,"")</f>
        <v>3.1306600546017234</v>
      </c>
      <c r="G29" s="13">
        <f>IFERROR('I-Mixed'!G31,"")</f>
        <v>2.6854505996435938</v>
      </c>
      <c r="H29" s="13">
        <f>IFERROR('I-Mixed'!H31,"")</f>
        <v>2.234961972413275</v>
      </c>
      <c r="I29" s="13">
        <f>IFERROR('I-Mixed'!I31,"")</f>
        <v>1.9282725717895985</v>
      </c>
      <c r="J29" s="13">
        <f>IFERROR('I-Mixed'!J31,"")</f>
        <v>1.8140656751879758</v>
      </c>
    </row>
    <row r="30" spans="2:16" hidden="1" x14ac:dyDescent="0.25">
      <c r="B30" s="45" t="s">
        <v>11</v>
      </c>
      <c r="C30" s="13">
        <f>IFERROR('I-Mixed'!C32,"")</f>
        <v>4.217978486308712</v>
      </c>
      <c r="D30" s="13">
        <f>IFERROR('I-Mixed'!D32,"")</f>
        <v>4.1271493911152417</v>
      </c>
      <c r="E30" s="13">
        <f>IFERROR('I-Mixed'!E32,"")</f>
        <v>3.8714756818278842</v>
      </c>
      <c r="F30" s="13">
        <f>IFERROR('I-Mixed'!F32,"")</f>
        <v>3.4089410811314154</v>
      </c>
      <c r="G30" s="13">
        <f>IFERROR('I-Mixed'!G32,"")</f>
        <v>2.8739218384687182</v>
      </c>
      <c r="H30" s="13">
        <f>IFERROR('I-Mixed'!H32,"")</f>
        <v>2.4293240689722815</v>
      </c>
      <c r="I30" s="13">
        <f>IFERROR('I-Mixed'!I32,"")</f>
        <v>2.1951114481244121</v>
      </c>
      <c r="J30" s="13">
        <f>IFERROR('I-Mixed'!J32,"")</f>
        <v>2.0964818772193907</v>
      </c>
    </row>
    <row r="31" spans="2:16" hidden="1" x14ac:dyDescent="0.25">
      <c r="B31" s="45" t="str">
        <f>B25</f>
        <v xml:space="preserve">   Barrows</v>
      </c>
      <c r="C31" s="13">
        <f>IFERROR('I-Mixed'!C35,"")</f>
        <v>1.4151317821565728</v>
      </c>
      <c r="D31" s="13">
        <f>IFERROR('I-Mixed'!D35,"")</f>
        <v>1.3846586207191636</v>
      </c>
      <c r="E31" s="13">
        <f>IFERROR('I-Mixed'!E35,"")</f>
        <v>1.2988800912532552</v>
      </c>
      <c r="F31" s="13">
        <f>IFERROR('I-Mixed'!F35,"")</f>
        <v>1.1436997327195899</v>
      </c>
      <c r="G31" s="13">
        <f>IFERROR('I-Mixed'!G35,"")</f>
        <v>0.93309795696737552</v>
      </c>
      <c r="H31" s="13">
        <f>IFERROR('I-Mixed'!H35,"")</f>
        <v>0.78271953587370591</v>
      </c>
      <c r="I31" s="13">
        <f>IFERROR('I-Mixed'!I35,"")</f>
        <v>0.71036961620955485</v>
      </c>
      <c r="J31" s="13">
        <f>IFERROR('I-Mixed'!J35,"")</f>
        <v>0.67993662133565891</v>
      </c>
    </row>
    <row r="32" spans="2:16" hidden="1" x14ac:dyDescent="0.25">
      <c r="B32" s="45" t="str">
        <f>B26</f>
        <v xml:space="preserve">   Gilts</v>
      </c>
      <c r="C32" s="13">
        <f>IFERROR('I-Mixed'!C36,"")</f>
        <v>1.4151317821565728</v>
      </c>
      <c r="D32" s="13">
        <f>IFERROR('I-Mixed'!D36,"")</f>
        <v>1.3846586207191636</v>
      </c>
      <c r="E32" s="13">
        <f>IFERROR('I-Mixed'!E36,"")</f>
        <v>1.2988800912532552</v>
      </c>
      <c r="F32" s="13">
        <f>IFERROR('I-Mixed'!F36,"")</f>
        <v>1.1436997327195899</v>
      </c>
      <c r="G32" s="13">
        <f>IFERROR('I-Mixed'!G36,"")</f>
        <v>0.99530359664513457</v>
      </c>
      <c r="H32" s="13">
        <f>IFERROR('I-Mixed'!H36,"")</f>
        <v>0.84735691440669503</v>
      </c>
      <c r="I32" s="13">
        <f>IFERROR('I-Mixed'!I36,"")</f>
        <v>0.76255016548192567</v>
      </c>
      <c r="J32" s="13">
        <f>IFERROR('I-Mixed'!J36,"")</f>
        <v>0.72680271827855225</v>
      </c>
    </row>
    <row r="33" spans="1:18" x14ac:dyDescent="0.25">
      <c r="B33" s="45" t="s">
        <v>138</v>
      </c>
      <c r="C33" s="13">
        <f t="shared" ref="C33:J33" si="1">IF(C21&gt;0,IF(C24&lt;$B$62,1.46,IF(AND(C24&gt;$B$63,C24&lt;$B$61),1.42,IF($C$4=$O$20,(C28*(C21/1000*2.2046222)/10),(C28*(C21/1000)/10)))),"")</f>
        <v>1.42</v>
      </c>
      <c r="D33" s="13">
        <f t="shared" si="1"/>
        <v>1.3846586207191636</v>
      </c>
      <c r="E33" s="13">
        <f t="shared" si="1"/>
        <v>1.2988800912532552</v>
      </c>
      <c r="F33" s="13">
        <f t="shared" si="1"/>
        <v>1.1436997327195899</v>
      </c>
      <c r="G33" s="13">
        <f t="shared" si="1"/>
        <v>0.96420077680625504</v>
      </c>
      <c r="H33" s="13">
        <f t="shared" si="1"/>
        <v>0.81503822514020041</v>
      </c>
      <c r="I33" s="13">
        <f t="shared" si="1"/>
        <v>0.73645989084574026</v>
      </c>
      <c r="J33" s="13">
        <f t="shared" si="1"/>
        <v>0.70336966980710558</v>
      </c>
    </row>
    <row r="34" spans="1:18" x14ac:dyDescent="0.25">
      <c r="B34" s="45" t="s">
        <v>137</v>
      </c>
      <c r="C34" s="34">
        <f>IFERROR(IF($C$4=$O$20,'I-Mixed'!C12*2.204622,'I-Mixed'!C12),"")</f>
        <v>2.3875213038297782</v>
      </c>
      <c r="D34" s="34">
        <f>IFERROR(IF($C$4=$O$20,'I-Mixed'!D12*2.204622,'I-Mixed'!D12),"")</f>
        <v>4.8040612055834835</v>
      </c>
      <c r="E34" s="34">
        <f>IFERROR(IF($C$4=$O$20,'I-Mixed'!E12*2.204622,'I-Mixed'!E12),"")</f>
        <v>20.173680744502715</v>
      </c>
      <c r="F34" s="34">
        <f>IFERROR(IF($C$4=$O$20,'I-Mixed'!F12*2.204622,'I-Mixed'!F12),"")</f>
        <v>39.728764166285778</v>
      </c>
      <c r="G34" s="34">
        <f>IFERROR(IF($C$4=$O$20,'I-Mixed'!G12*2.204622,'I-Mixed'!G12),"")</f>
        <v>62.472897515858719</v>
      </c>
      <c r="H34" s="34">
        <f>IFERROR(IF($C$4=$O$20,'I-Mixed'!H12*2.204622,'I-Mixed'!H12),"")</f>
        <v>69.933636640433576</v>
      </c>
      <c r="I34" s="34">
        <f>IFERROR(IF($C$4=$O$20,'I-Mixed'!I12*2.204622,'I-Mixed'!I12),"")</f>
        <v>42.881657508943817</v>
      </c>
      <c r="J34" s="34">
        <f>IFERROR(IF($C$4=$O$20,'I-Mixed'!J12*2.204622,'I-Mixed'!J12),"")</f>
        <v>34.637780914562171</v>
      </c>
    </row>
    <row r="35" spans="1:18" x14ac:dyDescent="0.25">
      <c r="A35" s="9" t="s">
        <v>48</v>
      </c>
      <c r="B35" s="45" t="s">
        <v>135</v>
      </c>
      <c r="C35" s="11">
        <f>IFERROR('I-Mixed'!C15,"")</f>
        <v>10</v>
      </c>
      <c r="D35" s="11">
        <f>IFERROR('I-Mixed'!D15,"")</f>
        <v>9</v>
      </c>
      <c r="E35" s="11">
        <f>IFERROR('I-Mixed'!E15,"")</f>
        <v>21</v>
      </c>
      <c r="F35" s="11">
        <f>IFERROR('I-Mixed'!F15,"")</f>
        <v>23</v>
      </c>
      <c r="G35" s="11">
        <f>IFERROR('I-Mixed'!G15,"")</f>
        <v>25</v>
      </c>
      <c r="H35" s="11">
        <f>IFERROR('I-Mixed'!H15,"")</f>
        <v>23</v>
      </c>
      <c r="I35" s="11">
        <f>IFERROR('I-Mixed'!I15,"")</f>
        <v>13</v>
      </c>
      <c r="J35" s="11">
        <f>IFERROR('I-Mixed'!J15,"")</f>
        <v>11</v>
      </c>
      <c r="N35" s="32"/>
      <c r="O35" s="32"/>
      <c r="P35" s="32"/>
      <c r="Q35" s="41"/>
      <c r="R35" s="33"/>
    </row>
    <row r="36" spans="1:18" hidden="1" x14ac:dyDescent="0.25">
      <c r="B36" s="43" t="s">
        <v>32</v>
      </c>
      <c r="C36" s="44"/>
      <c r="D36" s="44"/>
      <c r="E36" s="44"/>
      <c r="F36" s="44"/>
      <c r="G36" s="44"/>
      <c r="H36" s="44"/>
      <c r="I36" s="44"/>
      <c r="J36" s="44"/>
      <c r="M36" s="32"/>
      <c r="N36" s="32"/>
      <c r="O36" s="32"/>
      <c r="P36" s="32"/>
    </row>
    <row r="37" spans="1:18" hidden="1" x14ac:dyDescent="0.25">
      <c r="B37" s="45" t="str">
        <f>B23</f>
        <v>Входящий вес кг</v>
      </c>
      <c r="C37" s="192">
        <f>IFERROR(IF($C$4=$O$20,'I-Barrows'!C11,'I-Barrows'!C15),"")</f>
        <v>5.9425449780322959</v>
      </c>
      <c r="D37" s="192">
        <f>IFERROR(IF($C$4=$O$20,'I-Barrows'!D11,'I-Barrows'!D15),"")</f>
        <v>8.0465522594685872</v>
      </c>
      <c r="E37" s="192">
        <f>IFERROR(IF($C$4=$O$20,'I-Barrows'!E11,'I-Barrows'!E15),"")</f>
        <v>11.490145963298215</v>
      </c>
      <c r="F37" s="192">
        <f>IFERROR(IF($C$4=$O$20,'I-Barrows'!F11,'I-Barrows'!F15),"")</f>
        <v>24.337433593788479</v>
      </c>
      <c r="G37" s="192">
        <f>IFERROR(IF($C$4=$O$20,'I-Barrows'!G11,'I-Barrows'!G15),"")</f>
        <v>44.12148785987516</v>
      </c>
      <c r="H37" s="192">
        <f>IFERROR(IF($C$4=$O$20,'I-Barrows'!H11,'I-Barrows'!H15),"")</f>
        <v>61.143079860182539</v>
      </c>
      <c r="I37" s="192">
        <f>IFERROR(IF($C$4=$O$20,'I-Barrows'!I11,'I-Barrows'!I15),"")</f>
        <v>90.933955888787878</v>
      </c>
      <c r="J37" s="192">
        <f>IFERROR(IF($C$4=$O$20,'I-Barrows'!J11,'I-Barrows'!J15),"")</f>
        <v>98.24357211658706</v>
      </c>
      <c r="M37" s="41"/>
      <c r="N37" s="32"/>
    </row>
    <row r="38" spans="1:18" hidden="1" x14ac:dyDescent="0.25">
      <c r="B38" s="45" t="str">
        <f>B24</f>
        <v>Вес выхода кг</v>
      </c>
      <c r="C38" s="192">
        <f>IFERROR(IF($C$4=$O$20,IF(D21&gt;0,'I-Barrows'!C12,'I-Barrows'!C12+'Adj-Mixed'!$K$4*2.204622),IF(D21&gt;0,'I-Barrows'!C16,'I-Barrows'!C16+'Adj-Mixed'!$K$4)),"")</f>
        <v>8.0465522594685872</v>
      </c>
      <c r="D38" s="192">
        <f>IFERROR(IF($C$4=$O$20,IF(E21&gt;0,'I-Barrows'!D12,'I-Barrows'!D12+'Adj-Mixed'!$K$4*2.204622),IF(E21&gt;0,'I-Barrows'!D16,'I-Barrows'!D16+'Adj-Mixed'!$K$4)),"")</f>
        <v>11.490145963298215</v>
      </c>
      <c r="E38" s="192">
        <f>IFERROR(IF($C$4=$O$20,IF(F21&gt;0,'I-Barrows'!E12,'I-Barrows'!E12+'Adj-Mixed'!$K$4*2.204622),IF(F21&gt;0,'I-Barrows'!E16,'I-Barrows'!E16+'Adj-Mixed'!$K$4)),"")</f>
        <v>24.337433593788479</v>
      </c>
      <c r="F38" s="192">
        <f>IFERROR(IF($C$4=$O$20,IF(G21&gt;0,'I-Barrows'!F12,'I-Barrows'!F12+'Adj-Mixed'!$K$4*2.204622),IF(G21&gt;0,'I-Barrows'!F16,'I-Barrows'!F16+'Adj-Mixed'!$K$4)),"")</f>
        <v>44.12148785987516</v>
      </c>
      <c r="G38" s="192">
        <f>IFERROR(IF($C$4=$O$20,IF(H21&gt;0,'I-Barrows'!G12,'I-Barrows'!G12+'Adj-Mixed'!$K$4*2.204622),IF(H21&gt;0,'I-Barrows'!G16,'I-Barrows'!G16+'Adj-Mixed'!$K$4)),"")</f>
        <v>61.143079860182539</v>
      </c>
      <c r="H38" s="192">
        <f>IFERROR(IF($C$4=$O$20,IF(I21&gt;0,'I-Barrows'!H12,'I-Barrows'!H12+'Adj-Mixed'!$K$4*2.204622),IF(I21&gt;0,'I-Barrows'!H16,'I-Barrows'!H16+'Adj-Mixed'!$K$4)),"")</f>
        <v>90.933955888787878</v>
      </c>
      <c r="I38" s="192">
        <f>IFERROR(IF($C$4=$O$20,IF(J21&gt;0,'I-Barrows'!I12,'I-Barrows'!I12+'Adj-Mixed'!$K$4*2.204622),IF(J21&gt;0,'I-Barrows'!I16,'I-Barrows'!I16+'Adj-Mixed'!$K$4)),"")</f>
        <v>98.24357211658706</v>
      </c>
      <c r="J38" s="192">
        <f>IFERROR(IF($C$4=$O$20,IF(K21&gt;0,'I-Barrows'!J12,'I-Barrows'!J12+'Adj-Mixed'!$K$4*2.204622),IF(K21&gt;0,'I-Barrows'!J16,'I-Barrows'!J16+'Adj-Mixed'!$K$4)),"")</f>
        <v>123.86885355649652</v>
      </c>
      <c r="N38" s="32"/>
      <c r="O38" s="186"/>
    </row>
    <row r="39" spans="1:18" hidden="1" x14ac:dyDescent="0.25">
      <c r="B39" s="45" t="str">
        <f>B34</f>
        <v>Кормовой бюджет кг/гол</v>
      </c>
      <c r="C39" s="34">
        <f>IFERROR(IF($C$4=$O$20,'I-Barrows'!C5*2.204622,'I-Barrows'!C5),"")</f>
        <v>2.376035051174902</v>
      </c>
      <c r="D39" s="34">
        <f>IFERROR(IF($C$4=$O$20,'I-Barrows'!D5*2.204622,'I-Barrows'!D5),"")</f>
        <v>4.7809490931645051</v>
      </c>
      <c r="E39" s="34">
        <f>IFERROR(IF($C$4=$O$20,'I-Barrows'!E5*2.204622,'I-Barrows'!E5),"")</f>
        <v>20.116580865291201</v>
      </c>
      <c r="F39" s="34">
        <f>IFERROR(IF($C$4=$O$20,'I-Barrows'!F5*2.204622,'I-Barrows'!F5),"")</f>
        <v>38.941397487662165</v>
      </c>
      <c r="G39" s="34">
        <f>IFERROR(IF($C$4=$O$20,'I-Barrows'!G5*2.204622,'I-Barrows'!G5),"")</f>
        <v>39.752389277591035</v>
      </c>
      <c r="H39" s="34">
        <f>IFERROR(IF($C$4=$O$20,'I-Barrows'!H5*2.204622,'I-Barrows'!H5),"")</f>
        <v>81.036982807656386</v>
      </c>
      <c r="I39" s="34">
        <f>IFERROR(IF($C$4=$O$20,'I-Barrows'!I5*2.204622,'I-Barrows'!I5),"")</f>
        <v>24.098274513767109</v>
      </c>
      <c r="J39" s="34">
        <f>IFERROR(IF($C$4=$O$20,'I-Barrows'!J5*2.204622,'I-Barrows'!J5),"")</f>
        <v>82.851097401554711</v>
      </c>
      <c r="M39" s="32"/>
    </row>
    <row r="40" spans="1:18" hidden="1" x14ac:dyDescent="0.25">
      <c r="B40" s="45" t="s">
        <v>49</v>
      </c>
      <c r="C40" s="11">
        <f>IFERROR(IF(D21&gt;0,'I-Barrows'!C8,'I-Barrows'!C8+'Adj-Mixed'!$J$7),"")</f>
        <v>10</v>
      </c>
      <c r="D40" s="11">
        <f>IFERROR(IF(E21&gt;0,'I-Barrows'!D8,'I-Barrows'!D8+'Adj-Mixed'!$J$7),"")</f>
        <v>9</v>
      </c>
      <c r="E40" s="11">
        <f>IFERROR(IF(F21&gt;0,'I-Barrows'!E8,'I-Barrows'!E8+'Adj-Mixed'!$J$7),"")</f>
        <v>21</v>
      </c>
      <c r="F40" s="11">
        <f>IFERROR(IF(G21&gt;0,'I-Barrows'!F8,'I-Barrows'!F8+'Adj-Mixed'!$J$7),"")</f>
        <v>22</v>
      </c>
      <c r="G40" s="11">
        <f>IFERROR(IF(H21&gt;0,'I-Barrows'!G8,'I-Barrows'!G8+'Adj-Mixed'!$J$7),"")</f>
        <v>16</v>
      </c>
      <c r="H40" s="11">
        <f>IFERROR(IF(I21&gt;0,'I-Barrows'!H8,'I-Barrows'!H8+'Adj-Mixed'!$J$7),"")</f>
        <v>26</v>
      </c>
      <c r="I40" s="11">
        <f>IFERROR(IF(J21&gt;0,'I-Barrows'!I8,'I-Barrows'!I8+'Adj-Mixed'!$J$7),"")</f>
        <v>7</v>
      </c>
      <c r="J40" s="11">
        <f>IFERROR(IF(K21&gt;0,'I-Barrows'!J8,'I-Barrows'!J8+'Adj-Mixed'!$J$7),"")</f>
        <v>24</v>
      </c>
      <c r="M40" s="81"/>
      <c r="O40" s="32"/>
      <c r="P40" s="141"/>
      <c r="Q40" s="41"/>
      <c r="R40" s="41"/>
    </row>
    <row r="41" spans="1:18" hidden="1" x14ac:dyDescent="0.25">
      <c r="B41" s="43" t="s">
        <v>33</v>
      </c>
      <c r="C41" s="44"/>
      <c r="D41" s="203" t="str">
        <f>IF(D43&lt;C43,"!","")</f>
        <v/>
      </c>
      <c r="E41" s="203" t="str">
        <f t="shared" ref="E41:J41" si="2">IF(E43&lt;D43,"!","")</f>
        <v/>
      </c>
      <c r="F41" s="203" t="str">
        <f t="shared" si="2"/>
        <v/>
      </c>
      <c r="G41" s="203" t="str">
        <f t="shared" si="2"/>
        <v/>
      </c>
      <c r="H41" s="203" t="str">
        <f t="shared" si="2"/>
        <v/>
      </c>
      <c r="I41" s="203" t="str">
        <f t="shared" si="2"/>
        <v/>
      </c>
      <c r="J41" s="203" t="str">
        <f t="shared" si="2"/>
        <v>!</v>
      </c>
      <c r="M41" s="32"/>
      <c r="O41" s="81"/>
    </row>
    <row r="42" spans="1:18" hidden="1" x14ac:dyDescent="0.25">
      <c r="B42" s="45" t="str">
        <f>B23</f>
        <v>Входящий вес кг</v>
      </c>
      <c r="C42" s="192">
        <f>IFERROR(IF($C$4=$O$20,'I-Gilts'!C11,'I-Gilts'!C3),"")</f>
        <v>6.0580105212632942</v>
      </c>
      <c r="D42" s="192">
        <f>IFERROR(IF($C$4=$O$20,'I-Gilts'!D11,'I-Gilts'!D15),"")</f>
        <v>7.9310867162375898</v>
      </c>
      <c r="E42" s="192">
        <f>IFERROR(IF($C$4=$O$20,'I-Gilts'!E11,'I-Gilts'!E15),"")</f>
        <v>11.605611506529211</v>
      </c>
      <c r="F42" s="192">
        <f>IFERROR(IF($C$4=$O$20,'I-Gilts'!F11,'I-Gilts'!F15),"")</f>
        <v>24.221968050557482</v>
      </c>
      <c r="G42" s="192">
        <f>IFERROR(IF($C$4=$O$20,'I-Gilts'!G11,'I-Gilts'!G15),"")</f>
        <v>44.236953403106156</v>
      </c>
      <c r="H42" s="192">
        <f>IFERROR(IF($C$4=$O$20,'I-Gilts'!H11,'I-Gilts'!H15),"")</f>
        <v>79.001063511201536</v>
      </c>
      <c r="I42" s="192">
        <f>IFERROR(IF($C$4=$O$20,'I-Gilts'!I11,'I-Gilts'!I15),"")</f>
        <v>100.11236496977052</v>
      </c>
      <c r="J42" s="192">
        <f>IFERROR(IF($C$4=$O$20,'I-Gilts'!J11,'I-Gilts'!J15),"")</f>
        <v>122.77658254670938</v>
      </c>
      <c r="N42" s="81"/>
    </row>
    <row r="43" spans="1:18" hidden="1" x14ac:dyDescent="0.25">
      <c r="B43" s="45" t="str">
        <f>B24</f>
        <v>Вес выхода кг</v>
      </c>
      <c r="C43" s="192">
        <f>IFERROR(IF($C$4=$O$20,IF(D21&gt;0,'I-Gilts'!C12,'I-Gilts'!C12+'Adj-Mixed'!$K$4*2.204622),IF(D21&gt;0,'I-Gilts'!C16,'I-Gilts'!C16+'Adj-Mixed'!$K$4)),"")</f>
        <v>7.9310867162375898</v>
      </c>
      <c r="D43" s="192">
        <f>IFERROR(IF($C$4=$O$20,IF(E21&gt;0,'I-Gilts'!D12,'I-Gilts'!D12+'Adj-Mixed'!$K$4*2.204622),IF(E21&gt;0,'I-Gilts'!D16,'I-Gilts'!D16+'Adj-Mixed'!$K$4)),"")</f>
        <v>11.605611506529211</v>
      </c>
      <c r="E43" s="192">
        <f>IFERROR(IF($C$4=$O$20,IF(F21&gt;0,'I-Gilts'!E12,'I-Gilts'!E12+'Adj-Mixed'!$K$4*2.204622),IF(F21&gt;0,'I-Gilts'!E16,'I-Gilts'!E16+'Adj-Mixed'!$K$4)),"")</f>
        <v>24.221968050557482</v>
      </c>
      <c r="F43" s="192">
        <f>IFERROR(IF($C$4=$O$20,IF(G21&gt;0,'I-Gilts'!F12,'I-Gilts'!F12+'Adj-Mixed'!$K$4*2.204622),IF(G21&gt;0,'I-Gilts'!F16,'I-Gilts'!F16+'Adj-Mixed'!$K$4)),"")</f>
        <v>44.236953403106156</v>
      </c>
      <c r="G43" s="192">
        <f>IFERROR(IF($C$4=$O$20,IF(H21&gt;0,'I-Gilts'!G12,'I-Gilts'!G12+'Adj-Mixed'!$K$4*2.204622),IF(H21&gt;0,'I-Gilts'!G16,'I-Gilts'!G16+'Adj-Mixed'!$K$4)),"")</f>
        <v>79.001063511201536</v>
      </c>
      <c r="H43" s="192">
        <f>IFERROR(IF($C$4=$O$20,IF(I21&gt;0,'I-Gilts'!H12,'I-Gilts'!H12+'Adj-Mixed'!$K$4*2.204622),IF(I21&gt;0,'I-Gilts'!H16,'I-Gilts'!H16+'Adj-Mixed'!$K$4)),"")</f>
        <v>100.11236496977052</v>
      </c>
      <c r="I43" s="192">
        <f>IFERROR(IF($C$4=$O$20,IF(J21&gt;0,'I-Gilts'!I12,'I-Gilts'!I12+'Adj-Mixed'!$K$4*2.204622),IF(J21&gt;0,'I-Gilts'!I16,'I-Gilts'!I16+'Adj-Mixed'!$K$4)),"")</f>
        <v>122.77658254670938</v>
      </c>
      <c r="J43" s="192">
        <f>IFERROR(IF($C$4=$O$20,IF(K21&gt;0,'I-Gilts'!J12,'I-Gilts'!J12+'Adj-Mixed'!$K$4*2.204622),IF(K21&gt;0,'I-Gilts'!J16,'I-Gilts'!J16+'Adj-Mixed'!$K$4)),"")</f>
        <v>116.0314241931513</v>
      </c>
    </row>
    <row r="44" spans="1:18" hidden="1" x14ac:dyDescent="0.25">
      <c r="B44" s="45" t="str">
        <f>B34</f>
        <v>Кормовой бюджет кг/гол</v>
      </c>
      <c r="C44" s="34">
        <f>IFERROR(IF($C$4=$O$20,'I-Gilts'!C5*2.204622,'I-Gilts'!C5),"")</f>
        <v>2.0187024387874568</v>
      </c>
      <c r="D44" s="192">
        <f>IFERROR(IF($C$4=$O$20,'I-Gilts'!D5*2.204622,'I-Gilts'!D5),"")</f>
        <v>4.5462878662569253</v>
      </c>
      <c r="E44" s="192">
        <f>IFERROR(IF($C$4=$O$20,'I-Gilts'!E5*2.204622,'I-Gilts'!E5),"")</f>
        <v>19.627669097708811</v>
      </c>
      <c r="F44" s="34">
        <f>IFERROR(IF($C$4=$O$20,'I-Gilts'!F5*2.204622,'I-Gilts'!F5),"")</f>
        <v>39.581767361959749</v>
      </c>
      <c r="G44" s="34">
        <f>IFERROR(IF($C$4=$O$20,'I-Gilts'!G5*2.204622,'I-Gilts'!G5),"")</f>
        <v>85.162546391322124</v>
      </c>
      <c r="H44" s="34">
        <f>IFERROR(IF($C$4=$O$20,'I-Gilts'!H5*2.204622,'I-Gilts'!H5),"")</f>
        <v>58.401079683094082</v>
      </c>
      <c r="I44" s="34">
        <f>IFERROR(IF($C$4=$O$20,'I-Gilts'!I5*2.204622,'I-Gilts'!I5),"")</f>
        <v>50.262240663008754</v>
      </c>
      <c r="J44" s="34">
        <f>IFERROR(IF($C$4=$O$20,'I-Gilts'!J5*2.204622,'I-Gilts'!J5),"")</f>
        <v>0</v>
      </c>
      <c r="M44" s="32"/>
    </row>
    <row r="45" spans="1:18" hidden="1" x14ac:dyDescent="0.25">
      <c r="B45" s="45" t="s">
        <v>49</v>
      </c>
      <c r="C45" s="11">
        <f>IFERROR(IF(D21&gt;0,'I-Gilts'!C8,'I-Gilts'!C8+'Adj-Mixed'!$J$8),"")</f>
        <v>9</v>
      </c>
      <c r="D45" s="192">
        <f>IFERROR(IF(E21&gt;0,'I-Gilts'!D8,'I-Gilts'!D8+'Adj-Mixed'!$J$8),"")</f>
        <v>9</v>
      </c>
      <c r="E45" s="192">
        <f>IFERROR(IF(F21&gt;0,'I-Gilts'!E8,'I-Gilts'!E8+'Adj-Mixed'!$J$8),"")</f>
        <v>21</v>
      </c>
      <c r="F45" s="11">
        <f>IFERROR(IF(G21&gt;0,'I-Gilts'!F8,'I-Gilts'!F8+'Adj-Mixed'!$J$8),"")</f>
        <v>24</v>
      </c>
      <c r="G45" s="11">
        <f>IFERROR(IF(H21&gt;0,'I-Gilts'!G8,'I-Gilts'!G8+'Adj-Mixed'!$J$8),"")</f>
        <v>35</v>
      </c>
      <c r="H45" s="11">
        <f>IFERROR(IF(I21&gt;0,'I-Gilts'!H8,'I-Gilts'!H8+'Adj-Mixed'!$J$8),"")</f>
        <v>20</v>
      </c>
      <c r="I45" s="11">
        <f>IFERROR(IF(J21&gt;0,'I-Gilts'!I8,'I-Gilts'!I8+'Adj-Mixed'!$J$8),"")</f>
        <v>16</v>
      </c>
      <c r="J45" s="11">
        <f>IFERROR(IF(K21&gt;0,'I-Gilts'!J8,'I-Gilts'!J8+'Adj-Mixed'!$J$8),"")</f>
        <v>1</v>
      </c>
      <c r="Q45" s="41"/>
      <c r="R45" s="41"/>
    </row>
    <row r="46" spans="1:18" hidden="1" x14ac:dyDescent="0.25">
      <c r="B46" s="225" t="str">
        <f>IF(D43&lt;C43,"!",IF(E43&lt;D43,"!",IF(F43&lt;E43,"!",IF(G43&lt;F43,"!",IF(H43&lt;G43,"!",IF(I43&lt;H43,"!",IF(J43&lt;I43,"!","")))))))</f>
        <v>!</v>
      </c>
      <c r="C46" s="226" t="str">
        <f>IF(B46="!","Because the weight range of the last phase is so narrow, gilts will end up not eating the last diet and will reach the targeted fixed time with the previous dietary phase"," ")</f>
        <v>Because the weight range of the last phase is so narrow, gilts will end up not eating the last diet and will reach the targeted fixed time with the previous dietary phase</v>
      </c>
      <c r="D46" s="226"/>
      <c r="E46" s="226"/>
      <c r="F46" s="226"/>
      <c r="G46" s="226"/>
      <c r="H46" s="226"/>
      <c r="I46" s="226"/>
      <c r="J46" s="226"/>
    </row>
    <row r="47" spans="1:18" hidden="1" x14ac:dyDescent="0.25">
      <c r="B47" s="225"/>
      <c r="C47" s="226"/>
      <c r="D47" s="226"/>
      <c r="E47" s="226"/>
      <c r="F47" s="226"/>
      <c r="G47" s="226"/>
      <c r="H47" s="226"/>
      <c r="I47" s="226"/>
      <c r="J47" s="226"/>
    </row>
    <row r="48" spans="1:18" x14ac:dyDescent="0.25">
      <c r="L48" s="10"/>
      <c r="M48" s="53"/>
      <c r="N48" s="53"/>
    </row>
    <row r="49" spans="1:16" hidden="1" x14ac:dyDescent="0.25">
      <c r="L49" s="41"/>
      <c r="M49" s="41"/>
      <c r="N49" s="41"/>
      <c r="O49" s="41"/>
      <c r="P49" s="41"/>
    </row>
    <row r="50" spans="1:16" hidden="1" x14ac:dyDescent="0.25">
      <c r="B50" s="45" t="s">
        <v>45</v>
      </c>
      <c r="C50" s="32"/>
      <c r="D50" s="32"/>
      <c r="E50" s="32"/>
      <c r="F50" s="32"/>
      <c r="G50" s="32"/>
      <c r="L50" s="41"/>
      <c r="M50" s="41"/>
      <c r="N50" s="41"/>
      <c r="O50" s="41"/>
    </row>
    <row r="51" spans="1:16" hidden="1" x14ac:dyDescent="0.25">
      <c r="B51" s="45" t="s">
        <v>46</v>
      </c>
      <c r="C51" s="32"/>
      <c r="D51" s="32"/>
      <c r="E51" s="32"/>
      <c r="F51" s="32"/>
      <c r="G51" s="32"/>
      <c r="L51" s="81"/>
      <c r="M51" s="81"/>
      <c r="N51" s="81"/>
      <c r="O51" s="41"/>
    </row>
    <row r="52" spans="1:16" hidden="1" x14ac:dyDescent="0.25">
      <c r="B52" s="45" t="s">
        <v>62</v>
      </c>
      <c r="L52" s="41"/>
      <c r="M52" s="41"/>
      <c r="N52" s="41"/>
      <c r="O52" s="41"/>
    </row>
    <row r="53" spans="1:16" hidden="1" x14ac:dyDescent="0.25">
      <c r="B53" s="45" t="s">
        <v>47</v>
      </c>
    </row>
    <row r="54" spans="1:16" hidden="1" x14ac:dyDescent="0.25">
      <c r="B54" s="45" t="s">
        <v>117</v>
      </c>
    </row>
    <row r="55" spans="1:16" hidden="1" x14ac:dyDescent="0.25">
      <c r="B55" s="45" t="s">
        <v>118</v>
      </c>
    </row>
    <row r="56" spans="1:16" hidden="1" x14ac:dyDescent="0.25">
      <c r="B56" s="45" t="s">
        <v>123</v>
      </c>
    </row>
    <row r="57" spans="1:16" hidden="1" x14ac:dyDescent="0.25">
      <c r="B57" s="45" t="s">
        <v>119</v>
      </c>
    </row>
    <row r="58" spans="1:16" hidden="1" x14ac:dyDescent="0.25">
      <c r="B58" s="55" t="s">
        <v>120</v>
      </c>
    </row>
    <row r="59" spans="1:16" hidden="1" x14ac:dyDescent="0.25">
      <c r="B59" s="55" t="s">
        <v>124</v>
      </c>
    </row>
    <row r="60" spans="1:16" hidden="1" x14ac:dyDescent="0.25">
      <c r="A60" s="9">
        <v>25.5</v>
      </c>
      <c r="B60" s="54">
        <f>IF($C$4=$O$20,25.5,25.5/2.204622)</f>
        <v>11.56660869754543</v>
      </c>
    </row>
    <row r="61" spans="1:16" hidden="1" x14ac:dyDescent="0.25">
      <c r="A61" s="9">
        <v>25.5</v>
      </c>
      <c r="B61" s="54">
        <f>IF($C$4=$O$20,25.5,25.5/2.204622)</f>
        <v>11.56660869754543</v>
      </c>
    </row>
    <row r="62" spans="1:16" hidden="1" x14ac:dyDescent="0.25">
      <c r="A62" s="9">
        <v>16.5</v>
      </c>
      <c r="B62" s="54">
        <f>IF($C$4=$O$20,16.5,16.5/2.204622)</f>
        <v>7.4842762160588068</v>
      </c>
    </row>
    <row r="63" spans="1:16" hidden="1" x14ac:dyDescent="0.25">
      <c r="A63" s="9">
        <v>16</v>
      </c>
      <c r="B63" s="54">
        <f>IF($C$4=$O$20,16,16/2.204622)</f>
        <v>7.2574799670873285</v>
      </c>
    </row>
  </sheetData>
  <sheetProtection algorithmName="SHA-512" hashValue="MSxzMylJkNG1ZvSjO0q73mFWoCm4v7oPxMJhg1RPYgi62kv0Yd0HS8eJmS3TjfCeXYzpm9tNUi5GImA0KdOh0Q==" saltValue="Sb33Cjn+JB0O4NBNp8lykw==" spinCount="100000" sheet="1" objects="1" scenarios="1"/>
  <mergeCells count="3">
    <mergeCell ref="C11:F11"/>
    <mergeCell ref="B46:B47"/>
    <mergeCell ref="C46:J47"/>
  </mergeCells>
  <conditionalFormatting sqref="C9">
    <cfRule type="expression" dxfId="12" priority="14">
      <formula>$C$6="Live"</formula>
    </cfRule>
  </conditionalFormatting>
  <conditionalFormatting sqref="C13">
    <cfRule type="expression" dxfId="11" priority="12">
      <formula>$P$20=1</formula>
    </cfRule>
  </conditionalFormatting>
  <conditionalFormatting sqref="C23:J24">
    <cfRule type="expression" dxfId="10" priority="11">
      <formula>$P$20=1</formula>
    </cfRule>
  </conditionalFormatting>
  <conditionalFormatting sqref="D42:D45">
    <cfRule type="expression" dxfId="9" priority="7">
      <formula>D$43&lt;C$43</formula>
    </cfRule>
  </conditionalFormatting>
  <conditionalFormatting sqref="E42:E45">
    <cfRule type="expression" dxfId="8" priority="6">
      <formula>E$43&lt;D$43</formula>
    </cfRule>
  </conditionalFormatting>
  <conditionalFormatting sqref="F42:F45">
    <cfRule type="expression" dxfId="7" priority="5">
      <formula>$F$43&lt;$E$43</formula>
    </cfRule>
  </conditionalFormatting>
  <conditionalFormatting sqref="G42:G45">
    <cfRule type="expression" dxfId="6" priority="4">
      <formula>$G$43&lt;$F$43</formula>
    </cfRule>
  </conditionalFormatting>
  <conditionalFormatting sqref="H42:H45">
    <cfRule type="expression" dxfId="5" priority="3">
      <formula>$H$43&lt;$G$43</formula>
    </cfRule>
  </conditionalFormatting>
  <conditionalFormatting sqref="I42:I45">
    <cfRule type="expression" dxfId="4" priority="2">
      <formula>$I$43&lt;$H$43</formula>
    </cfRule>
  </conditionalFormatting>
  <conditionalFormatting sqref="J42:J45">
    <cfRule type="expression" dxfId="3" priority="1">
      <formula>$J$43&lt;$I$43</formula>
    </cfRule>
  </conditionalFormatting>
  <dataValidations count="9">
    <dataValidation errorStyle="warning" allowBlank="1" showInputMessage="1" showErrorMessage="1" error="This calculator is based on data between 11 and 150 kg. It is not recommended to use for body weight outside of this range." sqref="C44:J45 C34:J41" xr:uid="{8A6EE9A1-ED34-4F99-BB4C-E61BD587F55F}"/>
    <dataValidation type="decimal" errorStyle="warning" allowBlank="1" showInputMessage="1" showErrorMessage="1" error="Please double check your entry" sqref="C8 C15:E18 M14:N14 C14 D28:J28 C33:J33 C25:C32" xr:uid="{1CB2C2D6-AC7F-4524-9BFE-ABB0462D9ECB}">
      <formula1>0.1</formula1>
      <formula2>1000000</formula2>
    </dataValidation>
    <dataValidation type="decimal" errorStyle="warning" allowBlank="1" showInputMessage="1" showErrorMessage="1" error="This calculator is based on data between 11 and 150 kg. It is not recommended to use for body weight outside of this range." sqref="C34:J36 C39:J41" xr:uid="{EF516FD9-F107-43FD-9766-44119887E81C}">
      <formula1>11</formula1>
      <formula2>150</formula2>
    </dataValidation>
    <dataValidation type="decimal" allowBlank="1" showInputMessage="1" showErrorMessage="1" sqref="C9" xr:uid="{EBB6EF64-6B73-4200-A77E-D0A4CC86573A}">
      <formula1>1</formula1>
      <formula2>100</formula2>
    </dataValidation>
    <dataValidation type="decimal" errorStyle="warning" allowBlank="1" showInputMessage="1" showErrorMessage="1" error="Please double check your entry" sqref="C13 O14 F15:F18 M13:O13" xr:uid="{16F2F5E1-6155-4229-A46E-49C752DD4620}">
      <formula1>0</formula1>
      <formula2>1000000</formula2>
    </dataValidation>
    <dataValidation type="list" errorStyle="warning" allowBlank="1" showDropDown="1" showInputMessage="1" showErrorMessage="1" error="Please double check your entry" sqref="C4" xr:uid="{8F24F443-D88F-4814-9080-2F925D855764}">
      <formula1>$O$20:$O$21</formula1>
    </dataValidation>
    <dataValidation type="list" allowBlank="1" showInputMessage="1" showErrorMessage="1" errorTitle="Select the version" sqref="C4" xr:uid="{8CBDA89F-B5DF-49B3-8091-840BDE5D7D3E}">
      <formula1>$O$20:$O$21</formula1>
    </dataValidation>
    <dataValidation type="whole" allowBlank="1" showInputMessage="1" showErrorMessage="1" error="Please double check your entry, only whole numbers are accepted. The minimum age at beggining is 18 days. " sqref="C5" xr:uid="{2726509E-3E07-4202-9776-C201EC194015}">
      <formula1>18</formula1>
      <formula2>200</formula2>
    </dataValidation>
    <dataValidation type="whole" allowBlank="1" showInputMessage="1" showErrorMessage="1" sqref="C5" xr:uid="{9079D499-8F4F-4A32-8251-429F4F3AA2F9}">
      <formula1>1</formula1>
      <formula2>100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Plese select one of the options" xr:uid="{2077233F-7A7A-48DC-ADD5-56CA56EFDE4D}">
          <x14:formula1>
            <xm:f>'Adj-Mixed'!$A$24:$A$25</xm:f>
          </x14:formula1>
          <xm:sqref>C6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6290D-D4C3-44FA-A8EB-AEF3634493DD}">
  <sheetPr codeName="Worksheet____1"/>
  <dimension ref="A1"/>
  <sheetViews>
    <sheetView showGridLines="0" showRowColHeaders="0" topLeftCell="B19" workbookViewId="0">
      <selection activeCell="W27" sqref="W27"/>
    </sheetView>
  </sheetViews>
  <sheetFormatPr defaultRowHeight="15" x14ac:dyDescent="0.25"/>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14945-31AC-4BA6-BD0D-0FD1866363E9}">
  <sheetPr codeName="Worksheet____2"/>
  <dimension ref="A1:Q33"/>
  <sheetViews>
    <sheetView topLeftCell="C1" zoomScale="160" zoomScaleNormal="160" workbookViewId="0">
      <selection activeCell="J3" sqref="J3:J4"/>
    </sheetView>
  </sheetViews>
  <sheetFormatPr defaultRowHeight="15" x14ac:dyDescent="0.25"/>
  <cols>
    <col min="1" max="1" width="8.85546875" hidden="1" customWidth="1"/>
    <col min="2" max="2" width="4.28515625" hidden="1" customWidth="1"/>
    <col min="3" max="3" width="4.28515625" customWidth="1"/>
    <col min="4" max="4" width="8.85546875" bestFit="1" customWidth="1"/>
    <col min="5" max="5" width="11.7109375" customWidth="1"/>
    <col min="6" max="6" width="9.5703125" hidden="1" customWidth="1"/>
    <col min="7" max="7" width="11.7109375" customWidth="1"/>
    <col min="8" max="9" width="14.28515625" customWidth="1"/>
    <col min="10" max="10" width="16.7109375" customWidth="1"/>
    <col min="11" max="11" width="23.28515625" customWidth="1"/>
    <col min="12" max="12" width="15.140625" customWidth="1"/>
    <col min="13" max="13" width="17.42578125" customWidth="1"/>
    <col min="14" max="14" width="21.7109375" customWidth="1"/>
    <col min="16" max="17" width="20.7109375" hidden="1" customWidth="1"/>
  </cols>
  <sheetData>
    <row r="1" spans="1:17" ht="15.75" thickBot="1" x14ac:dyDescent="0.3">
      <c r="D1" s="173"/>
      <c r="E1" s="173"/>
      <c r="F1" s="173"/>
      <c r="G1" s="173"/>
      <c r="H1" s="173"/>
      <c r="I1" s="173"/>
      <c r="J1" s="173"/>
      <c r="K1" s="173"/>
      <c r="L1" s="173"/>
      <c r="M1" s="173"/>
      <c r="N1" s="173"/>
    </row>
    <row r="2" spans="1:17" ht="16.5" thickBot="1" x14ac:dyDescent="0.3">
      <c r="D2" s="200" t="s">
        <v>67</v>
      </c>
      <c r="E2" s="200"/>
      <c r="F2" s="200"/>
      <c r="G2" s="200"/>
      <c r="H2" s="200"/>
      <c r="I2" s="200"/>
      <c r="J2" s="200"/>
      <c r="K2" s="200"/>
      <c r="L2" s="200"/>
      <c r="M2" s="200"/>
      <c r="N2" s="200"/>
    </row>
    <row r="3" spans="1:17" ht="14.45" customHeight="1" x14ac:dyDescent="0.25">
      <c r="B3" s="230" t="s">
        <v>72</v>
      </c>
      <c r="C3" s="92"/>
      <c r="D3" s="231" t="s">
        <v>13</v>
      </c>
      <c r="E3" s="231" t="s">
        <v>108</v>
      </c>
      <c r="F3" s="231" t="str">
        <f>IF('Кормовой бюджет'!$C$4="Imperial","Weight, lb","Weight, kg")</f>
        <v>Weight, kg</v>
      </c>
      <c r="G3" s="231" t="str">
        <f>IF('Кормовой бюджет'!$C$4="Imperial","Weight, lb","Weight, kg")</f>
        <v>Weight, kg</v>
      </c>
      <c r="H3" s="227" t="str">
        <f>IF('Кормовой бюджет'!$C$4="Imperial","Total Feed per Week, lb","Total Feed per Week, kg")</f>
        <v>Total Feed per Week, kg</v>
      </c>
      <c r="I3" s="229" t="str">
        <f>IF('Кормовой бюджет'!$C$4="Imperial","Incremental ADFI, lb","Incremental ADFI, kg")</f>
        <v>Incremental ADFI, kg</v>
      </c>
      <c r="J3" s="227" t="str">
        <f>IF('Кормовой бюджет'!$C$4="Imperial","Incremental ADG, lb", "Incremental ADG, kg")</f>
        <v>Incremental ADG, kg</v>
      </c>
      <c r="K3" s="227" t="s">
        <v>110</v>
      </c>
      <c r="L3" s="227" t="str">
        <f>IF('Кормовой бюджет'!$C$4="Imperial","Cumulative ADG, lb","Cumulative ADG, kg")</f>
        <v>Cumulative ADG, kg</v>
      </c>
      <c r="M3" s="227" t="str">
        <f>IF('Кормовой бюджет'!$C$4="Imperial","Cumulative Feed Intake, lb","Cumulative Feed Intake, kg")</f>
        <v>Cumulative Feed Intake, kg</v>
      </c>
      <c r="N3" s="227" t="s">
        <v>109</v>
      </c>
    </row>
    <row r="4" spans="1:17" ht="15.75" thickBot="1" x14ac:dyDescent="0.3">
      <c r="A4" t="s">
        <v>115</v>
      </c>
      <c r="B4" s="230"/>
      <c r="C4" s="92"/>
      <c r="D4" s="232"/>
      <c r="E4" s="232"/>
      <c r="F4" s="232"/>
      <c r="G4" s="232"/>
      <c r="H4" s="228"/>
      <c r="I4" s="228"/>
      <c r="J4" s="228"/>
      <c r="K4" s="228"/>
      <c r="L4" s="228"/>
      <c r="M4" s="228"/>
      <c r="N4" s="228"/>
      <c r="P4" t="s">
        <v>130</v>
      </c>
      <c r="Q4" t="s">
        <v>111</v>
      </c>
    </row>
    <row r="5" spans="1:17" x14ac:dyDescent="0.25">
      <c r="B5" s="92">
        <f>'Curve-Mixed'!I3</f>
        <v>21</v>
      </c>
      <c r="C5" s="92"/>
      <c r="D5" s="92">
        <f t="shared" ref="D5:D31" si="0">IF(B5&gt;0,B5,"")</f>
        <v>21</v>
      </c>
      <c r="E5" s="92">
        <v>1</v>
      </c>
      <c r="F5" s="29">
        <f>IFERROR(IF('Кормовой бюджет'!$C$4="Imperial",VLOOKUP(D5,'Curve-Mixed'!$G$2:$R$185,12,FALSE),VLOOKUP(D5,'Curve-Mixed'!$G$2:$R$185,2,FALSE)),"")</f>
        <v>6</v>
      </c>
      <c r="G5" s="29">
        <f>IFERROR(IF(F6="",F5+(MAX('Кормовой бюджет'!$C$24:$J$24)-F5),F5),"")</f>
        <v>6</v>
      </c>
    </row>
    <row r="6" spans="1:17" x14ac:dyDescent="0.25">
      <c r="A6" s="92">
        <f>IFERROR(IF(D6-D5&lt;0,"",D6-D5),"")</f>
        <v>7</v>
      </c>
      <c r="B6" s="92">
        <f>MAX('Curve-Mixed'!G4:G10)</f>
        <v>28</v>
      </c>
      <c r="C6" s="92"/>
      <c r="D6" s="92">
        <f t="shared" si="0"/>
        <v>28</v>
      </c>
      <c r="E6" s="92">
        <f>IF(F6="","",E5+1)</f>
        <v>2</v>
      </c>
      <c r="F6" s="29">
        <f>IFERROR(IF('Кормовой бюджет'!$C$4="Imperial",VLOOKUP(D6,'Curve-Mixed'!$G$2:$R$185,12,FALSE),VLOOKUP(D6,'Curve-Mixed'!$G$2:$R$185,2,FALSE)),"")</f>
        <v>7.1491470263440835</v>
      </c>
      <c r="G6" s="29">
        <f>IFERROR(IF(F7="",F6+(MAX('Кормовой бюджет'!$C$24:$J$24)-F6),F6),"")</f>
        <v>7.1491470263440835</v>
      </c>
      <c r="H6" s="31">
        <f>IF(F6="","",IF('Кормовой бюджет'!$C$4="Imperial",Q6,P6))</f>
        <v>1.3452487588262794</v>
      </c>
      <c r="I6" s="31">
        <f>IF(F6="","",H6/A6)</f>
        <v>0.19217839411803991</v>
      </c>
      <c r="J6" s="122">
        <f>IF(G6="","",(G6-G5)/(B6-B5))</f>
        <v>0.16416386090629764</v>
      </c>
      <c r="K6" s="122">
        <f>IF(F6="","",((H6/A6)/J6))</f>
        <v>1.1706498193760961</v>
      </c>
      <c r="L6" s="122">
        <f>IF(G6="","",(G6-G5)/(B6-B5))</f>
        <v>0.16416386090629764</v>
      </c>
      <c r="M6" s="31">
        <f>IF(H6="","",SUM($H$5:$H6))</f>
        <v>1.3452487588262794</v>
      </c>
      <c r="N6" s="122">
        <f>IF(G6="","",M6/(L6*(D6-$D$5)))</f>
        <v>1.1706498193760961</v>
      </c>
      <c r="P6" s="31">
        <f>IF($F$6="","",SUM('Curve-Mixed'!M4:M10))</f>
        <v>1.3452487588262794</v>
      </c>
      <c r="Q6" s="31">
        <f>IF($F$6="","",SUM('Curve-Mixed'!Q4:Q10))</f>
        <v>2.9657658457224034</v>
      </c>
    </row>
    <row r="7" spans="1:17" x14ac:dyDescent="0.25">
      <c r="A7" s="92">
        <f t="shared" ref="A7:A31" si="1">IFERROR(IF(D7-D6&lt;0,"",D7-D6),"")</f>
        <v>7</v>
      </c>
      <c r="B7" s="92">
        <f>MAX('Curve-Mixed'!G11:G17)</f>
        <v>35</v>
      </c>
      <c r="C7" s="92"/>
      <c r="D7" s="92">
        <f t="shared" si="0"/>
        <v>35</v>
      </c>
      <c r="E7" s="92">
        <f t="shared" ref="E7:E31" si="2">IF(F7="","",E6+1)</f>
        <v>3</v>
      </c>
      <c r="F7" s="29">
        <f>IFERROR(IF('Кормовой бюджет'!$C$4="Imperial",VLOOKUP(D7,'Curve-Mixed'!$G$2:$R$185,12,FALSE),VLOOKUP(D7,'Curve-Mixed'!$G$2:$R$185,2,FALSE)),"")</f>
        <v>9.3927887322675438</v>
      </c>
      <c r="G7" s="29">
        <f>IFERROR(IF(F8="",F7+(MAX('Кормовой бюджет'!$C$24:$J$24)-F7),F7),"")</f>
        <v>9.3927887322675438</v>
      </c>
      <c r="H7" s="31">
        <f>IF(F7="","",IF('Кормовой бюджет'!$C$4="Imperial",Q7,P7))</f>
        <v>2.8668101973789373</v>
      </c>
      <c r="I7" s="31">
        <f t="shared" ref="I7:I31" si="3">IF(F7="","",H7/A7)</f>
        <v>0.40954431391127677</v>
      </c>
      <c r="J7" s="122">
        <f t="shared" ref="J7:J31" si="4">IF(G7="","",(G7-G6)/(B7-B6))</f>
        <v>0.32052024370335147</v>
      </c>
      <c r="K7" s="122">
        <f t="shared" ref="K7:K31" si="5">IF(F7="","",((H7/A7)/J7))</f>
        <v>1.2777486662911657</v>
      </c>
      <c r="L7" s="122">
        <f>IF(G7="","",(G7-$G$5)/(B7-$B$5))</f>
        <v>0.24234205230482456</v>
      </c>
      <c r="M7" s="31">
        <f>IF(H7="","",SUM($H$5:$H7))</f>
        <v>4.2120589562052171</v>
      </c>
      <c r="N7" s="122">
        <f>IF(G7="","",M7/(L7*(D7-$D$5)))</f>
        <v>1.241473987503525</v>
      </c>
      <c r="P7" s="31">
        <f>IF($F$7="","",SUM('Curve-Mixed'!$M$11:$M$17))</f>
        <v>2.8668101973789373</v>
      </c>
      <c r="Q7" s="31">
        <f>IF($F$7="","",SUM('Curve-Mixed'!$Q$11:$Q$17))</f>
        <v>6.3202346136883589</v>
      </c>
    </row>
    <row r="8" spans="1:17" x14ac:dyDescent="0.25">
      <c r="A8" s="92">
        <f t="shared" si="1"/>
        <v>7</v>
      </c>
      <c r="B8" s="92">
        <f>MAX('Curve-Mixed'!G18:G24)</f>
        <v>42</v>
      </c>
      <c r="C8" s="92"/>
      <c r="D8" s="92">
        <f t="shared" si="0"/>
        <v>42</v>
      </c>
      <c r="E8" s="92">
        <f t="shared" si="2"/>
        <v>4</v>
      </c>
      <c r="F8" s="29">
        <f>IFERROR(IF('Кормовой бюджет'!$C$4="Imperial",VLOOKUP(D8,'Curve-Mixed'!$G$2:$R$185,12,FALSE),VLOOKUP(D8,'Curve-Mixed'!$G$2:$R$185,2,FALSE)),"")</f>
        <v>12.518106707852166</v>
      </c>
      <c r="G8" s="29">
        <f>IFERROR(IF(F9="",F8+(MAX('Кормовой бюджет'!$C$24:$J$24)-F8),F8),"")</f>
        <v>12.518106707852166</v>
      </c>
      <c r="H8" s="31">
        <f>IF(F8="","",IF('Кормовой бюджет'!$C$4="Imperial",Q8,P8))</f>
        <v>4.3701173976702803</v>
      </c>
      <c r="I8" s="31">
        <f t="shared" si="3"/>
        <v>0.6243024853814686</v>
      </c>
      <c r="J8" s="122">
        <f t="shared" si="4"/>
        <v>0.44647399651208886</v>
      </c>
      <c r="K8" s="122">
        <f t="shared" si="5"/>
        <v>1.3982952876507888</v>
      </c>
      <c r="L8" s="122">
        <f t="shared" ref="L8:L31" si="6">IF(G8="","",(G8-$G$5)/(B8-$B$5))</f>
        <v>0.31038603370724599</v>
      </c>
      <c r="M8" s="31">
        <f>IF(H8="","",SUM($H$5:$H8))</f>
        <v>8.5821763538754965</v>
      </c>
      <c r="N8" s="122">
        <f t="shared" ref="N8:N31" si="7">IF(G8="","",M8/(L8*(D8-$D$5)))</f>
        <v>1.3166670535689158</v>
      </c>
      <c r="P8" s="31">
        <f>IF($F$8="","",SUM('Curve-Mixed'!$M$18:$M$24))</f>
        <v>4.3701173976702803</v>
      </c>
      <c r="Q8" s="31">
        <f>IF($F$8="","",SUM('Curve-Mixed'!$Q$18:$Q$24))</f>
        <v>9.6344596750388014</v>
      </c>
    </row>
    <row r="9" spans="1:17" x14ac:dyDescent="0.25">
      <c r="A9" s="92">
        <f t="shared" si="1"/>
        <v>7</v>
      </c>
      <c r="B9" s="92">
        <f>MAX('Curve-Mixed'!G25:G31)</f>
        <v>49</v>
      </c>
      <c r="C9" s="92"/>
      <c r="D9" s="92">
        <f t="shared" si="0"/>
        <v>49</v>
      </c>
      <c r="E9" s="92">
        <f t="shared" si="2"/>
        <v>5</v>
      </c>
      <c r="F9" s="29">
        <f>IFERROR(IF('Кормовой бюджет'!$C$4="Imperial",VLOOKUP(D9,'Curve-Mixed'!$G$2:$R$185,12,FALSE),VLOOKUP(D9,'Curve-Mixed'!$G$2:$R$185,2,FALSE)),"")</f>
        <v>16.287754122232471</v>
      </c>
      <c r="G9" s="29">
        <f>IFERROR(IF(F10="",F9+(MAX('Кормовой бюджет'!$C$24:$J$24)-F9),F9),"")</f>
        <v>16.287754122232471</v>
      </c>
      <c r="H9" s="31">
        <f>IF(F9="","",IF('Кормовой бюджет'!$C$4="Imperial",Q9,P9))</f>
        <v>5.6721553694928666</v>
      </c>
      <c r="I9" s="31">
        <f t="shared" si="3"/>
        <v>0.81030790992755242</v>
      </c>
      <c r="J9" s="122">
        <f t="shared" si="4"/>
        <v>0.5385210591971864</v>
      </c>
      <c r="K9" s="122">
        <f t="shared" si="5"/>
        <v>1.5046912206841809</v>
      </c>
      <c r="L9" s="122">
        <f t="shared" si="6"/>
        <v>0.36741979007973108</v>
      </c>
      <c r="M9" s="31">
        <f>IF(H9="","",SUM($H$5:$H9))</f>
        <v>14.254331723368363</v>
      </c>
      <c r="N9" s="122">
        <f t="shared" si="7"/>
        <v>1.3855630251275031</v>
      </c>
      <c r="P9" s="31">
        <f>IF($F$9="","",SUM('Curve-Mixed'!$M$25:$M$31))</f>
        <v>5.6721553694928666</v>
      </c>
      <c r="Q9" s="31">
        <f>IF($F$9="","",SUM('Curve-Mixed'!$Q$25:$Q$31))</f>
        <v>12.504962042224975</v>
      </c>
    </row>
    <row r="10" spans="1:17" x14ac:dyDescent="0.25">
      <c r="A10" s="92">
        <f t="shared" si="1"/>
        <v>7</v>
      </c>
      <c r="B10" s="92">
        <f>MAX('Curve-Mixed'!G32:G38)</f>
        <v>56</v>
      </c>
      <c r="C10" s="92"/>
      <c r="D10" s="92">
        <f t="shared" si="0"/>
        <v>56</v>
      </c>
      <c r="E10" s="92">
        <f t="shared" si="2"/>
        <v>6</v>
      </c>
      <c r="F10" s="29">
        <f>IFERROR(IF('Кормовой бюджет'!$C$4="Imperial",VLOOKUP(D10,'Curve-Mixed'!$G$2:$R$185,12,FALSE),VLOOKUP(D10,'Curve-Mixed'!$G$2:$R$185,2,FALSE)),"")</f>
        <v>20.689468618311306</v>
      </c>
      <c r="G10" s="29">
        <f>IFERROR(IF(F11="",F10+(MAX('Кормовой бюджет'!$C$24:$J$24)-F10),F10),"")</f>
        <v>20.689468618311306</v>
      </c>
      <c r="H10" s="31">
        <f>IF(F10="","",IF('Кормовой бюджет'!$C$4="Imperial",Q10,P10))</f>
        <v>7.057434318521663</v>
      </c>
      <c r="I10" s="31">
        <f t="shared" si="3"/>
        <v>1.0082049026459519</v>
      </c>
      <c r="J10" s="122">
        <f t="shared" si="4"/>
        <v>0.62881635658269075</v>
      </c>
      <c r="K10" s="122">
        <f t="shared" si="5"/>
        <v>1.6033375914790962</v>
      </c>
      <c r="L10" s="122">
        <f>IF(G10="","",(G10-$G$5)/(B10-$B$5))</f>
        <v>0.41969910338032301</v>
      </c>
      <c r="M10" s="31">
        <f>IF(H10="","",SUM($H$5:$H10))</f>
        <v>21.311766041890024</v>
      </c>
      <c r="N10" s="122">
        <f t="shared" si="7"/>
        <v>1.4508193996427907</v>
      </c>
      <c r="P10" s="31">
        <f>IF($F$10="","",SUM('Curve-Mixed'!$M$32:$M$38))</f>
        <v>7.057434318521663</v>
      </c>
      <c r="Q10" s="31">
        <f>IF($F$10="","",SUM('Curve-Mixed'!$Q$32:$Q$38))</f>
        <v>15.558979350824753</v>
      </c>
    </row>
    <row r="11" spans="1:17" x14ac:dyDescent="0.25">
      <c r="A11" s="92">
        <f t="shared" si="1"/>
        <v>7</v>
      </c>
      <c r="B11" s="92">
        <f>MAX('Curve-Mixed'!G39:G45)</f>
        <v>63</v>
      </c>
      <c r="C11" s="92"/>
      <c r="D11" s="92">
        <f t="shared" si="0"/>
        <v>63</v>
      </c>
      <c r="E11" s="92">
        <f>IF(F11="","",E10+1)</f>
        <v>7</v>
      </c>
      <c r="F11" s="29">
        <f>IFERROR(IF('Кормовой бюджет'!$C$4="Imperial",VLOOKUP(D11,'Curve-Mixed'!$G$2:$R$185,12,FALSE),VLOOKUP(D11,'Curve-Mixed'!$G$2:$R$185,2,FALSE)),"")</f>
        <v>25.815196947691</v>
      </c>
      <c r="G11" s="29">
        <f>IFERROR(IF(F12="",F11+(MAX('Кормовой бюджет'!$C$24:$J$24)-F11),F11),"")</f>
        <v>25.815196947691</v>
      </c>
      <c r="H11" s="31">
        <f>IF(F11="","",IF('Кормовой бюджет'!$C$4="Imperial",Q11,P11))</f>
        <v>8.7567778266978014</v>
      </c>
      <c r="I11" s="31">
        <f t="shared" si="3"/>
        <v>1.2509682609568287</v>
      </c>
      <c r="J11" s="122">
        <f t="shared" si="4"/>
        <v>0.73224690419709915</v>
      </c>
      <c r="K11" s="122">
        <f t="shared" si="5"/>
        <v>1.7083967904630502</v>
      </c>
      <c r="L11" s="122">
        <f t="shared" si="6"/>
        <v>0.47179040351645235</v>
      </c>
      <c r="M11" s="31">
        <f>IF(H11="","",SUM($H$5:$H11))</f>
        <v>30.068543868587824</v>
      </c>
      <c r="N11" s="122">
        <f t="shared" si="7"/>
        <v>1.5174486505465501</v>
      </c>
      <c r="P11" s="31">
        <f>IF($F$11="","",SUM('Curve-Mixed'!$M$39:$M$45))</f>
        <v>8.7567778266978014</v>
      </c>
      <c r="Q11" s="31">
        <f>IF($F$11="","",SUM('Curve-Mixed'!$Q$39:$Q$45))</f>
        <v>19.305390491241731</v>
      </c>
    </row>
    <row r="12" spans="1:17" x14ac:dyDescent="0.25">
      <c r="A12" s="92">
        <f t="shared" si="1"/>
        <v>7</v>
      </c>
      <c r="B12" s="92">
        <f>MAX('Curve-Mixed'!G46:G52)</f>
        <v>70</v>
      </c>
      <c r="C12" s="92"/>
      <c r="D12" s="92">
        <f t="shared" si="0"/>
        <v>70</v>
      </c>
      <c r="E12" s="92">
        <f t="shared" si="2"/>
        <v>8</v>
      </c>
      <c r="F12" s="29">
        <f>IFERROR(IF('Кормовой бюджет'!$C$4="Imperial",VLOOKUP(D12,'Curve-Mixed'!$G$2:$R$185,12,FALSE),VLOOKUP(D12,'Curve-Mixed'!$G$2:$R$185,2,FALSE)),"")</f>
        <v>31.504890786830554</v>
      </c>
      <c r="G12" s="29">
        <f>IFERROR(IF(F13="",F12+(MAX('Кормовой бюджет'!$C$24:$J$24)-F12),F12),"")</f>
        <v>31.504890786830554</v>
      </c>
      <c r="H12" s="31">
        <f>IF(F12="","",IF('Кормовой бюджет'!$C$4="Imperial",Q12,P12))</f>
        <v>10.596856837466703</v>
      </c>
      <c r="I12" s="31">
        <f t="shared" si="3"/>
        <v>1.5138366910666718</v>
      </c>
      <c r="J12" s="122">
        <f t="shared" si="4"/>
        <v>0.81281340559136495</v>
      </c>
      <c r="K12" s="122">
        <f t="shared" si="5"/>
        <v>1.8624652111455706</v>
      </c>
      <c r="L12" s="122">
        <f>IF(G12="","",(G12-$G$5)/(B12-$B$5))</f>
        <v>0.52050797524143988</v>
      </c>
      <c r="M12" s="31">
        <f>IF(H12="","",SUM($H$5:$H12))</f>
        <v>40.665400706054527</v>
      </c>
      <c r="N12" s="122">
        <f t="shared" si="7"/>
        <v>1.594415794442535</v>
      </c>
      <c r="P12" s="31">
        <f>IF($F$12="","",SUM('Curve-Mixed'!$M$46:$M$52))</f>
        <v>10.596856837466703</v>
      </c>
      <c r="Q12" s="31">
        <f>IF($F$12="","",SUM('Curve-Mixed'!$Q$46:$Q$52))</f>
        <v>23.362070304371969</v>
      </c>
    </row>
    <row r="13" spans="1:17" x14ac:dyDescent="0.25">
      <c r="A13" s="92">
        <f t="shared" si="1"/>
        <v>7</v>
      </c>
      <c r="B13" s="92">
        <f>MAX('Curve-Mixed'!G53:G59)</f>
        <v>77</v>
      </c>
      <c r="C13" s="92"/>
      <c r="D13" s="92">
        <f t="shared" si="0"/>
        <v>77</v>
      </c>
      <c r="E13" s="92">
        <f t="shared" si="2"/>
        <v>9</v>
      </c>
      <c r="F13" s="29">
        <f>IFERROR(IF('Кормовой бюджет'!$C$4="Imperial",VLOOKUP(D13,'Curve-Mixed'!$G$2:$R$185,12,FALSE),VLOOKUP(D13,'Curve-Mixed'!$G$2:$R$185,2,FALSE)),"")</f>
        <v>37.645223484680592</v>
      </c>
      <c r="G13" s="29">
        <f>IFERROR(IF(F14="",F13+(MAX('Кормовой бюджет'!$C$24:$J$24)-F13),F13),"")</f>
        <v>37.645223484680592</v>
      </c>
      <c r="H13" s="31">
        <f>IF(F13="","",IF('Кормовой бюджет'!$C$4="Imperial",Q13,P13))</f>
        <v>12.358623289307932</v>
      </c>
      <c r="I13" s="31">
        <f t="shared" si="3"/>
        <v>1.7655176127582759</v>
      </c>
      <c r="J13" s="122">
        <f t="shared" si="4"/>
        <v>0.87719038540714833</v>
      </c>
      <c r="K13" s="122">
        <f t="shared" si="5"/>
        <v>2.01269603740448</v>
      </c>
      <c r="L13" s="122">
        <f t="shared" si="6"/>
        <v>0.56509327651215346</v>
      </c>
      <c r="M13" s="31">
        <f>IF(H13="","",SUM($H$5:$H13))</f>
        <v>53.024023995362455</v>
      </c>
      <c r="N13" s="122">
        <f t="shared" si="7"/>
        <v>1.6755774855257797</v>
      </c>
      <c r="P13" s="31">
        <f>IF($F$13="","",SUM('Curve-Mixed'!$M$53:$M$59))</f>
        <v>12.358623289307932</v>
      </c>
      <c r="Q13" s="31">
        <f>IF($F$13="","",SUM('Curve-Mixed'!$Q$53:$Q$59))</f>
        <v>27.246100478515395</v>
      </c>
    </row>
    <row r="14" spans="1:17" x14ac:dyDescent="0.25">
      <c r="A14" s="92">
        <f t="shared" si="1"/>
        <v>7</v>
      </c>
      <c r="B14" s="92">
        <f>MAX('Curve-Mixed'!G60:G66)</f>
        <v>84</v>
      </c>
      <c r="C14" s="92"/>
      <c r="D14" s="92">
        <f t="shared" si="0"/>
        <v>84</v>
      </c>
      <c r="E14" s="92">
        <f t="shared" si="2"/>
        <v>10</v>
      </c>
      <c r="F14" s="29">
        <f>IFERROR(IF('Кормовой бюджет'!$C$4="Imperial",VLOOKUP(D14,'Curve-Mixed'!$G$2:$R$185,12,FALSE),VLOOKUP(D14,'Curve-Mixed'!$G$2:$R$185,2,FALSE)),"")</f>
        <v>44.178942881842943</v>
      </c>
      <c r="G14" s="29">
        <f>IFERROR(IF(F15="",F14+(MAX('Кормовой бюджет'!$C$24:$J$24)-F14),F14),"")</f>
        <v>44.178942881842943</v>
      </c>
      <c r="H14" s="31">
        <f>IF(F14="","",IF('Кормовой бюджет'!$C$4="Imperial",Q14,P14))</f>
        <v>14.070003424839291</v>
      </c>
      <c r="I14" s="31">
        <f t="shared" si="3"/>
        <v>2.0100004892627559</v>
      </c>
      <c r="J14" s="122">
        <f t="shared" si="4"/>
        <v>0.93338848530890728</v>
      </c>
      <c r="K14" s="122">
        <f t="shared" si="5"/>
        <v>2.1534447027140486</v>
      </c>
      <c r="L14" s="122">
        <f t="shared" si="6"/>
        <v>0.60601496637845942</v>
      </c>
      <c r="M14" s="31">
        <f>IF(H14="","",SUM($H$5:$H14))</f>
        <v>67.094027420201741</v>
      </c>
      <c r="N14" s="122">
        <f t="shared" si="7"/>
        <v>1.7573568662664616</v>
      </c>
      <c r="P14" s="31">
        <f>IF($F$14="","",SUM('Curve-Mixed'!$M$60:$M$66))</f>
        <v>14.070003424839291</v>
      </c>
      <c r="Q14" s="31">
        <f>IF($F$14="","",SUM('Curve-Mixed'!$Q$60:$Q$66))</f>
        <v>31.019047839890451</v>
      </c>
    </row>
    <row r="15" spans="1:17" x14ac:dyDescent="0.25">
      <c r="A15" s="92">
        <f t="shared" si="1"/>
        <v>7</v>
      </c>
      <c r="B15" s="92">
        <f>MAX('Curve-Mixed'!G67:G73)</f>
        <v>91</v>
      </c>
      <c r="C15" s="92"/>
      <c r="D15" s="92">
        <f t="shared" si="0"/>
        <v>91</v>
      </c>
      <c r="E15" s="92">
        <f t="shared" si="2"/>
        <v>11</v>
      </c>
      <c r="F15" s="29">
        <f>IFERROR(IF('Кормовой бюджет'!$C$4="Imperial",VLOOKUP(D15,'Curve-Mixed'!$G$2:$R$185,12,FALSE),VLOOKUP(D15,'Curve-Mixed'!$G$2:$R$185,2,FALSE)),"")</f>
        <v>51.046934354941378</v>
      </c>
      <c r="G15" s="29">
        <f>IFERROR(IF(F16="",F15+(MAX('Кормовой бюджет'!$C$24:$J$24)-F15),F15),"")</f>
        <v>51.046934354941378</v>
      </c>
      <c r="H15" s="31">
        <f>IF(F15="","",IF('Кормовой бюджет'!$C$4="Imperial",Q15,P15))</f>
        <v>15.685058841555097</v>
      </c>
      <c r="I15" s="31">
        <f t="shared" si="3"/>
        <v>2.2407226916507281</v>
      </c>
      <c r="J15" s="122">
        <f t="shared" si="4"/>
        <v>0.98114163901406215</v>
      </c>
      <c r="K15" s="122">
        <f t="shared" si="5"/>
        <v>2.2837912514878123</v>
      </c>
      <c r="L15" s="122">
        <f t="shared" si="6"/>
        <v>0.6435276336420197</v>
      </c>
      <c r="M15" s="31">
        <f>IF(H15="","",SUM($H$5:$H15))</f>
        <v>82.779086261756845</v>
      </c>
      <c r="N15" s="122">
        <f t="shared" si="7"/>
        <v>1.8376186403609611</v>
      </c>
      <c r="P15" s="31">
        <f>IF($F$15="","",SUM('Curve-Mixed'!$M$67:$M$73))</f>
        <v>15.685058841555097</v>
      </c>
      <c r="Q15" s="31">
        <f>IF($F$15="","",SUM('Curve-Mixed'!$Q$67:$Q$73))</f>
        <v>34.579635547121526</v>
      </c>
    </row>
    <row r="16" spans="1:17" x14ac:dyDescent="0.25">
      <c r="A16" s="92">
        <f t="shared" si="1"/>
        <v>7</v>
      </c>
      <c r="B16" s="92">
        <f>MAX('Curve-Mixed'!G74:G80)</f>
        <v>98</v>
      </c>
      <c r="C16" s="92"/>
      <c r="D16" s="92">
        <f t="shared" si="0"/>
        <v>98</v>
      </c>
      <c r="E16" s="92">
        <f t="shared" si="2"/>
        <v>12</v>
      </c>
      <c r="F16" s="29">
        <f>IFERROR(IF('Кормовой бюджет'!$C$4="Imperial",VLOOKUP(D16,'Curve-Mixed'!$G$2:$R$185,12,FALSE),VLOOKUP(D16,'Curve-Mixed'!$G$2:$R$185,2,FALSE)),"")</f>
        <v>58.18972617129895</v>
      </c>
      <c r="G16" s="29">
        <f>IFERROR(IF(F17="",F16+(MAX('Кормовой бюджет'!$C$24:$J$24)-F16),F16),"")</f>
        <v>58.18972617129895</v>
      </c>
      <c r="H16" s="31">
        <f>IF(F16="","",IF('Кормовой бюджет'!$C$4="Imperial",Q16,P16))</f>
        <v>17.170172212279223</v>
      </c>
      <c r="I16" s="31">
        <f t="shared" si="3"/>
        <v>2.4528817446113176</v>
      </c>
      <c r="J16" s="122">
        <f t="shared" si="4"/>
        <v>1.0203988309082246</v>
      </c>
      <c r="K16" s="122">
        <f t="shared" si="5"/>
        <v>2.4038460945982125</v>
      </c>
      <c r="L16" s="122">
        <f t="shared" si="6"/>
        <v>0.6777886515753111</v>
      </c>
      <c r="M16" s="31">
        <f>IF(H16="","",SUM($H$5:$H16))</f>
        <v>99.949258474036071</v>
      </c>
      <c r="N16" s="122">
        <f t="shared" si="7"/>
        <v>1.9151136786190273</v>
      </c>
      <c r="P16" s="31">
        <f>IF($F$16="","",SUM('Curve-Mixed'!$M$74:$M$80))</f>
        <v>17.170172212279223</v>
      </c>
      <c r="Q16" s="31">
        <f>IF($F$16="","",SUM('Curve-Mixed'!$Q$74:$Q$80))</f>
        <v>37.853750080230007</v>
      </c>
    </row>
    <row r="17" spans="1:17" x14ac:dyDescent="0.25">
      <c r="A17" s="92">
        <f t="shared" si="1"/>
        <v>7</v>
      </c>
      <c r="B17" s="92">
        <f>MAX('Curve-Mixed'!G81:G87)</f>
        <v>105</v>
      </c>
      <c r="C17" s="92"/>
      <c r="D17" s="92">
        <f t="shared" si="0"/>
        <v>105</v>
      </c>
      <c r="E17" s="92">
        <f t="shared" si="2"/>
        <v>13</v>
      </c>
      <c r="F17" s="29">
        <f>IFERROR(IF('Кормовой бюджет'!$C$4="Imperial",VLOOKUP(D17,'Curve-Mixed'!$G$2:$R$185,12,FALSE),VLOOKUP(D17,'Curve-Mixed'!$G$2:$R$185,2,FALSE)),"")</f>
        <v>65.548825363751163</v>
      </c>
      <c r="G17" s="29">
        <f>IFERROR(IF(F18="",F17+(MAX('Кормовой бюджет'!$C$24:$J$24)-F17),F17),"")</f>
        <v>65.548825363751163</v>
      </c>
      <c r="H17" s="31">
        <f>IF(F17="","",IF('Кормовой бюджет'!$C$4="Imperial",Q17,P17))</f>
        <v>18.504990122121818</v>
      </c>
      <c r="I17" s="31">
        <f t="shared" si="3"/>
        <v>2.643570017445974</v>
      </c>
      <c r="J17" s="122">
        <f t="shared" si="4"/>
        <v>1.0512998846360304</v>
      </c>
      <c r="K17" s="122">
        <f t="shared" si="5"/>
        <v>2.5145727266594364</v>
      </c>
      <c r="L17" s="122">
        <f t="shared" si="6"/>
        <v>0.7089145876637043</v>
      </c>
      <c r="M17" s="31">
        <f>IF(H17="","",SUM($H$5:$H17))</f>
        <v>118.4542485961579</v>
      </c>
      <c r="N17" s="122">
        <f t="shared" si="7"/>
        <v>1.9891953850069377</v>
      </c>
      <c r="P17" s="31">
        <f>IF($F$17="","",SUM('Curve-Mixed'!$M$81:$M$87))</f>
        <v>18.504990122121818</v>
      </c>
      <c r="Q17" s="31">
        <f>IF($F$17="","",SUM('Curve-Mixed'!$Q$81:$Q$87))</f>
        <v>40.796519840317899</v>
      </c>
    </row>
    <row r="18" spans="1:17" x14ac:dyDescent="0.25">
      <c r="A18" s="92">
        <f t="shared" si="1"/>
        <v>7</v>
      </c>
      <c r="B18" s="92">
        <f>MAX('Curve-Mixed'!G88:G94)</f>
        <v>112</v>
      </c>
      <c r="C18" s="92"/>
      <c r="D18" s="92">
        <f t="shared" si="0"/>
        <v>112</v>
      </c>
      <c r="E18" s="92">
        <f t="shared" si="2"/>
        <v>14</v>
      </c>
      <c r="F18" s="29">
        <f>IFERROR(IF('Кормовой бюджет'!$C$4="Imperial",VLOOKUP(D18,'Curve-Mixed'!$G$2:$R$185,12,FALSE),VLOOKUP(D18,'Curve-Mixed'!$G$2:$R$185,2,FALSE)),"")</f>
        <v>73.067854435854514</v>
      </c>
      <c r="G18" s="29">
        <f>IFERROR(IF(F19="",F18+(MAX('Кормовой бюджет'!$C$24:$J$24)-F18),F18),"")</f>
        <v>73.067854435854514</v>
      </c>
      <c r="H18" s="31">
        <f>IF(F18="","",IF('Кормовой бюджет'!$C$4="Imperial",Q18,P18))</f>
        <v>19.681502281827324</v>
      </c>
      <c r="I18" s="31">
        <f t="shared" si="3"/>
        <v>2.8116431831181892</v>
      </c>
      <c r="J18" s="122">
        <f t="shared" si="4"/>
        <v>1.0741470103004787</v>
      </c>
      <c r="K18" s="122">
        <f t="shared" si="5"/>
        <v>2.617559008362988</v>
      </c>
      <c r="L18" s="122">
        <f t="shared" si="6"/>
        <v>0.73700938940499461</v>
      </c>
      <c r="M18" s="31">
        <f>IF(H18="","",SUM($H$5:$H18))</f>
        <v>138.13575087798523</v>
      </c>
      <c r="N18" s="122">
        <f t="shared" si="7"/>
        <v>2.0596417171821404</v>
      </c>
      <c r="P18" s="31">
        <f>IF($F$18="","",SUM('Curve-Mixed'!$M$88:$M$94))</f>
        <v>19.681502281827324</v>
      </c>
      <c r="Q18" s="31">
        <f>IF($F$18="","",SUM('Curve-Mixed'!$Q$88:$Q$94))</f>
        <v>43.390285162484815</v>
      </c>
    </row>
    <row r="19" spans="1:17" x14ac:dyDescent="0.25">
      <c r="A19" s="92">
        <f t="shared" si="1"/>
        <v>7</v>
      </c>
      <c r="B19" s="92">
        <f>MAX('Curve-Mixed'!G95:G101)</f>
        <v>119</v>
      </c>
      <c r="C19" s="92"/>
      <c r="D19" s="92">
        <f t="shared" si="0"/>
        <v>119</v>
      </c>
      <c r="E19" s="92">
        <f t="shared" si="2"/>
        <v>15</v>
      </c>
      <c r="F19" s="29">
        <f>IFERROR(IF('Кормовой бюджет'!$C$4="Imperial",VLOOKUP(D19,'Curve-Mixed'!$G$2:$R$185,12,FALSE),VLOOKUP(D19,'Curve-Mixed'!$G$2:$R$185,2,FALSE)),"")</f>
        <v>80.693472821467722</v>
      </c>
      <c r="G19" s="29">
        <f>IFERROR(IF(F20="",F19+(MAX('Кормовой бюджет'!$C$24:$J$24)-F19),F19),"")</f>
        <v>80.693472821467722</v>
      </c>
      <c r="H19" s="31">
        <f>IF(F19="","",IF('Кормовой бюджет'!$C$4="Imperial",Q19,P19))</f>
        <v>20.7018354603563</v>
      </c>
      <c r="I19" s="31">
        <f t="shared" si="3"/>
        <v>2.9574050657651858</v>
      </c>
      <c r="J19" s="122">
        <f t="shared" si="4"/>
        <v>1.0893740550876012</v>
      </c>
      <c r="K19" s="122">
        <f t="shared" si="5"/>
        <v>2.714774646920858</v>
      </c>
      <c r="L19" s="122">
        <f t="shared" si="6"/>
        <v>0.76217829409660942</v>
      </c>
      <c r="M19" s="31">
        <f>IF(H19="","",SUM($H$5:$H19))</f>
        <v>158.83758633834154</v>
      </c>
      <c r="N19" s="122">
        <f t="shared" si="7"/>
        <v>2.1265256566393025</v>
      </c>
      <c r="P19" s="31">
        <f>IF($F$19="","",SUM('Curve-Mixed'!$M$95:$M$101))</f>
        <v>20.7018354603563</v>
      </c>
      <c r="Q19" s="31">
        <f>IF($F$19="","",SUM('Curve-Mixed'!$Q$95:$Q$101))</f>
        <v>45.639734769692673</v>
      </c>
    </row>
    <row r="20" spans="1:17" x14ac:dyDescent="0.25">
      <c r="A20" s="92">
        <f t="shared" si="1"/>
        <v>7</v>
      </c>
      <c r="B20" s="92">
        <f>MAX('Curve-Mixed'!G102:G108)</f>
        <v>126</v>
      </c>
      <c r="C20" s="92"/>
      <c r="D20" s="92">
        <f t="shared" si="0"/>
        <v>126</v>
      </c>
      <c r="E20" s="92">
        <f t="shared" si="2"/>
        <v>16</v>
      </c>
      <c r="F20" s="29">
        <f>IFERROR(IF('Кормовой бюджет'!$C$4="Imperial",VLOOKUP(D20,'Curve-Mixed'!$G$2:$R$185,12,FALSE),VLOOKUP(D20,'Curve-Mixed'!$G$2:$R$185,2,FALSE)),"")</f>
        <v>88.376080130864835</v>
      </c>
      <c r="G20" s="29">
        <f>IFERROR(IF(F21="",F20+(MAX('Кормовой бюджет'!$C$24:$J$24)-F20),F20),"")</f>
        <v>88.376080130864835</v>
      </c>
      <c r="H20" s="31">
        <f>IF(F20="","",IF('Кормовой бюджет'!$C$4="Imperial",Q20,P20))</f>
        <v>21.575449550579847</v>
      </c>
      <c r="I20" s="31">
        <f t="shared" si="3"/>
        <v>3.0822070786542639</v>
      </c>
      <c r="J20" s="122">
        <f t="shared" si="4"/>
        <v>1.0975153299138733</v>
      </c>
      <c r="K20" s="122">
        <f t="shared" si="5"/>
        <v>2.8083499106077521</v>
      </c>
      <c r="L20" s="122">
        <f t="shared" si="6"/>
        <v>0.78453409648442696</v>
      </c>
      <c r="M20" s="31">
        <f>IF(H20="","",SUM($H$5:$H20))</f>
        <v>180.4130358889214</v>
      </c>
      <c r="N20" s="122">
        <f t="shared" si="7"/>
        <v>2.1901143584680463</v>
      </c>
      <c r="P20" s="31">
        <f>IF($F$20="","",SUM('Curve-Mixed'!$M$102:$M$108))</f>
        <v>21.575449550579847</v>
      </c>
      <c r="Q20" s="31">
        <f>IF($F$20="","",SUM('Curve-Mixed'!$Q$102:$Q$108))</f>
        <v>47.565724155765331</v>
      </c>
    </row>
    <row r="21" spans="1:17" x14ac:dyDescent="0.25">
      <c r="A21" s="92">
        <f t="shared" si="1"/>
        <v>7</v>
      </c>
      <c r="B21" s="92">
        <f>MAX('Curve-Mixed'!G109:G115)</f>
        <v>133</v>
      </c>
      <c r="C21" s="92"/>
      <c r="D21" s="92">
        <f t="shared" si="0"/>
        <v>133</v>
      </c>
      <c r="E21" s="92">
        <f t="shared" si="2"/>
        <v>17</v>
      </c>
      <c r="F21" s="29">
        <f>IFERROR(IF('Кормовой бюджет'!$C$4="Imperial",VLOOKUP(D21,'Curve-Mixed'!$G$2:$R$185,12,FALSE),VLOOKUP(D21,'Curve-Mixed'!$G$2:$R$185,2,FALSE)),"")</f>
        <v>96.07030952120067</v>
      </c>
      <c r="G21" s="29">
        <f>IFERROR(IF(F22="",F21+(MAX('Кормовой бюджет'!$C$24:$J$24)-F21),F21),"")</f>
        <v>96.07030952120067</v>
      </c>
      <c r="H21" s="31">
        <f>IF(F21="","",IF('Кормовой бюджет'!$C$4="Imperial",Q21,P21))</f>
        <v>22.316334358835093</v>
      </c>
      <c r="I21" s="31">
        <f t="shared" si="3"/>
        <v>3.1880477655478705</v>
      </c>
      <c r="J21" s="122">
        <f t="shared" si="4"/>
        <v>1.0991756271908335</v>
      </c>
      <c r="K21" s="122">
        <f t="shared" si="5"/>
        <v>2.900398886841745</v>
      </c>
      <c r="L21" s="122">
        <f t="shared" si="6"/>
        <v>0.80419919215357738</v>
      </c>
      <c r="M21" s="31">
        <f>IF(H21="","",SUM($H$5:$H21))</f>
        <v>202.72937024775649</v>
      </c>
      <c r="N21" s="122">
        <f t="shared" si="7"/>
        <v>2.2507902029584814</v>
      </c>
      <c r="P21" s="31">
        <f>IF($F$21="","",SUM('Curve-Mixed'!$M$109:$M$115))</f>
        <v>22.316334358835093</v>
      </c>
      <c r="Q21" s="31">
        <f>IF($F$21="","",SUM('Curve-Mixed'!$Q$109:$Q$115))</f>
        <v>49.199095564228941</v>
      </c>
    </row>
    <row r="22" spans="1:17" x14ac:dyDescent="0.25">
      <c r="A22" s="92">
        <f t="shared" si="1"/>
        <v>7</v>
      </c>
      <c r="B22" s="92">
        <f>MAX('Curve-Mixed'!G116:G122)</f>
        <v>140</v>
      </c>
      <c r="C22" s="92"/>
      <c r="D22" s="92">
        <f t="shared" si="0"/>
        <v>140</v>
      </c>
      <c r="E22" s="92">
        <f t="shared" si="2"/>
        <v>18</v>
      </c>
      <c r="F22" s="29">
        <f>IFERROR(IF('Кормовой бюджет'!$C$4="Imperial",VLOOKUP(D22,'Curve-Mixed'!$G$2:$R$185,12,FALSE),VLOOKUP(D22,'Curve-Mixed'!$G$2:$R$185,2,FALSE)),"")</f>
        <v>103.73532831369133</v>
      </c>
      <c r="G22" s="29">
        <f>IFERROR(IF(F23="",F22+(MAX('Кормовой бюджет'!$C$24:$J$24)-F22),F22),"")</f>
        <v>103.73532831369133</v>
      </c>
      <c r="H22" s="31">
        <f>IF(F22="","",IF('Кормовой бюджет'!$C$4="Imperial",Q22,P22))</f>
        <v>22.940608972993356</v>
      </c>
      <c r="I22" s="31">
        <f t="shared" si="3"/>
        <v>3.2772298532847652</v>
      </c>
      <c r="J22" s="122">
        <f t="shared" si="4"/>
        <v>1.0950026846415224</v>
      </c>
      <c r="K22" s="122">
        <f t="shared" si="5"/>
        <v>2.9928966378357797</v>
      </c>
      <c r="L22" s="122">
        <f t="shared" si="6"/>
        <v>0.82130527994698599</v>
      </c>
      <c r="M22" s="31">
        <f>IF(H22="","",SUM($H$5:$H22))</f>
        <v>225.66997922074984</v>
      </c>
      <c r="N22" s="122">
        <f t="shared" si="7"/>
        <v>2.3089908543248501</v>
      </c>
      <c r="P22" s="31">
        <f>IF($F$22="","",SUM('Curve-Mixed'!$M$116:$M$122))</f>
        <v>22.940608972993356</v>
      </c>
      <c r="Q22" s="31">
        <f>IF($F$22="","",SUM('Curve-Mixed'!$Q$116:$Q$122))</f>
        <v>50.575385500848164</v>
      </c>
    </row>
    <row r="23" spans="1:17" x14ac:dyDescent="0.25">
      <c r="A23" s="92">
        <f t="shared" si="1"/>
        <v>7</v>
      </c>
      <c r="B23" s="92">
        <f>MAX('Curve-Mixed'!G123:G129)</f>
        <v>147</v>
      </c>
      <c r="C23" s="92"/>
      <c r="D23" s="92">
        <f t="shared" si="0"/>
        <v>147</v>
      </c>
      <c r="E23" s="92">
        <f t="shared" si="2"/>
        <v>19</v>
      </c>
      <c r="F23" s="29">
        <f>IFERROR(IF('Кормовой бюджет'!$C$4="Imperial",VLOOKUP(D23,'Curve-Mixed'!$G$2:$R$185,12,FALSE),VLOOKUP(D23,'Curve-Mixed'!$G$2:$R$185,2,FALSE)),"")</f>
        <v>111.33496900032156</v>
      </c>
      <c r="G23" s="29">
        <f>IFERROR(IF(F24="",F23+(MAX('Кормовой бюджет'!$C$24:$J$24)-F23),F23),"")</f>
        <v>111.33496900032156</v>
      </c>
      <c r="H23" s="31">
        <f>IF(F23="","",IF('Кормовой бюджет'!$C$4="Imperial",Q23,P23))</f>
        <v>23.464712002343337</v>
      </c>
      <c r="I23" s="31">
        <f t="shared" si="3"/>
        <v>3.3521017146204768</v>
      </c>
      <c r="J23" s="122">
        <f t="shared" si="4"/>
        <v>1.0856629552328911</v>
      </c>
      <c r="K23" s="122">
        <f t="shared" si="5"/>
        <v>3.0876080817378542</v>
      </c>
      <c r="L23" s="122">
        <f t="shared" si="6"/>
        <v>0.83599181746286955</v>
      </c>
      <c r="M23" s="31">
        <f>IF(H23="","",SUM($H$5:$H23))</f>
        <v>249.13469122309317</v>
      </c>
      <c r="N23" s="122">
        <f t="shared" si="7"/>
        <v>2.3651660373330778</v>
      </c>
      <c r="P23" s="31">
        <f>IF($F$23="","",SUM('Curve-Mixed'!$M$123:$M$129))</f>
        <v>23.464712002343337</v>
      </c>
      <c r="Q23" s="31">
        <f>IF($F$23="","",SUM('Curve-Mixed'!$Q$123:$Q$129))</f>
        <v>51.73083489553261</v>
      </c>
    </row>
    <row r="24" spans="1:17" x14ac:dyDescent="0.25">
      <c r="A24" s="92">
        <f t="shared" si="1"/>
        <v>7</v>
      </c>
      <c r="B24" s="92">
        <f>MAX('Curve-Mixed'!G130:G136)</f>
        <v>154</v>
      </c>
      <c r="C24" s="92"/>
      <c r="D24" s="92">
        <f t="shared" si="0"/>
        <v>154</v>
      </c>
      <c r="E24" s="92">
        <f t="shared" si="2"/>
        <v>20</v>
      </c>
      <c r="F24" s="29">
        <f>IFERROR(IF('Кормовой бюджет'!$C$4="Imperial",VLOOKUP(D24,'Curve-Mixed'!$G$2:$R$185,12,FALSE),VLOOKUP(D24,'Curve-Mixed'!$G$2:$R$185,2,FALSE)),"")</f>
        <v>118.83771715408352</v>
      </c>
      <c r="G24" s="29">
        <f>IFERROR(IF(F25="",F24+(MAX('Кормовой бюджет'!$C$24:$J$24)-F24),F24),"")</f>
        <v>118.83771715408352</v>
      </c>
      <c r="H24" s="31">
        <f>IF(F24="","",IF('Кормовой бюджет'!$C$4="Imperial",Q24,P24))</f>
        <v>23.904200812084124</v>
      </c>
      <c r="I24" s="31">
        <f t="shared" si="3"/>
        <v>3.4148858302977319</v>
      </c>
      <c r="J24" s="122">
        <f t="shared" si="4"/>
        <v>1.0718211648231366</v>
      </c>
      <c r="K24" s="122">
        <f t="shared" si="5"/>
        <v>3.1860593374840001</v>
      </c>
      <c r="L24" s="122">
        <f t="shared" si="6"/>
        <v>0.84840388837656777</v>
      </c>
      <c r="M24" s="31">
        <f>IF(H24="","",SUM($H$5:$H24))</f>
        <v>273.0388920351773</v>
      </c>
      <c r="N24" s="122">
        <f t="shared" si="7"/>
        <v>2.4197484575333434</v>
      </c>
      <c r="P24" s="31">
        <f>IF($F$24="","",SUM('Curve-Mixed'!$M$130:$M$136))</f>
        <v>23.904200812084124</v>
      </c>
      <c r="Q24" s="31">
        <f>IF($F$24="","",SUM('Curve-Mixed'!$Q$130:$Q$136))</f>
        <v>52.699741867536531</v>
      </c>
    </row>
    <row r="25" spans="1:17" x14ac:dyDescent="0.25">
      <c r="A25" s="92">
        <f t="shared" si="1"/>
        <v>1</v>
      </c>
      <c r="B25" s="92">
        <f>MAX('Curve-Mixed'!G137:G143)</f>
        <v>155</v>
      </c>
      <c r="C25" s="92"/>
      <c r="D25" s="92">
        <f t="shared" si="0"/>
        <v>155</v>
      </c>
      <c r="E25" s="92">
        <f t="shared" si="2"/>
        <v>21</v>
      </c>
      <c r="F25" s="29">
        <f>IFERROR(IF('Кормовой бюджет'!$C$4="Imperial",VLOOKUP(D25,'Curve-Mixed'!$G$2:$R$185,12,FALSE),VLOOKUP(D25,'Curve-Mixed'!$G$2:$R$185,2,FALSE)),"")</f>
        <v>119.90000000000005</v>
      </c>
      <c r="G25" s="29">
        <f>IFERROR(IF(F26="",F25+(MAX('Кормовой бюджет'!$C$24:$J$24)-F25),F25),"")</f>
        <v>120</v>
      </c>
      <c r="H25" s="31">
        <f>IF(F25="","",IF('Кормовой бюджет'!$C$4="Imperial",Q25,P25))</f>
        <v>3.4464842423381281</v>
      </c>
      <c r="I25" s="31">
        <f t="shared" si="3"/>
        <v>3.4464842423381281</v>
      </c>
      <c r="J25" s="122">
        <f t="shared" si="4"/>
        <v>1.1622828459164793</v>
      </c>
      <c r="K25" s="122">
        <f t="shared" si="5"/>
        <v>2.9652715382033517</v>
      </c>
      <c r="L25" s="122">
        <f t="shared" si="6"/>
        <v>0.85074626865671643</v>
      </c>
      <c r="M25" s="31">
        <f>IF(H25="","",SUM($H$5:$H25))</f>
        <v>276.4853762775154</v>
      </c>
      <c r="N25" s="122">
        <f t="shared" si="7"/>
        <v>2.4253103182238194</v>
      </c>
      <c r="P25" s="31">
        <f>IF($F$25="","",SUM('Curve-Mixed'!$M$137:$M$143))</f>
        <v>3.4464842423381281</v>
      </c>
      <c r="Q25" s="31">
        <f>IF($F$25="","",SUM('Curve-Mixed'!$Q$137:$Q$143))</f>
        <v>7.5981971265039752</v>
      </c>
    </row>
    <row r="26" spans="1:17" x14ac:dyDescent="0.25">
      <c r="A26" s="92" t="str">
        <f t="shared" si="1"/>
        <v/>
      </c>
      <c r="B26" s="92">
        <f>MAX('Curve-Mixed'!G144:G150)</f>
        <v>0</v>
      </c>
      <c r="C26" s="92"/>
      <c r="D26" s="92" t="str">
        <f t="shared" si="0"/>
        <v/>
      </c>
      <c r="E26" s="161" t="str">
        <f t="shared" si="2"/>
        <v/>
      </c>
      <c r="F26" s="29" t="str">
        <f>IFERROR(IF('Кормовой бюджет'!$C$4="Imperial",VLOOKUP(D26,'Curve-Mixed'!$G$2:$R$185,12,FALSE),VLOOKUP(D26,'Curve-Mixed'!$G$2:$R$185,2,FALSE)),"")</f>
        <v/>
      </c>
      <c r="G26" s="29" t="str">
        <f>IFERROR(IF(F27="",F26+(MAX('Кормовой бюджет'!$C$24:$J$24)-F26),F26),"")</f>
        <v/>
      </c>
      <c r="H26" s="31" t="str">
        <f>IF(F26="","",IF('Кормовой бюджет'!$C$4="Imperial",Q26,P26))</f>
        <v/>
      </c>
      <c r="I26" s="31" t="str">
        <f t="shared" si="3"/>
        <v/>
      </c>
      <c r="J26" s="122" t="str">
        <f t="shared" si="4"/>
        <v/>
      </c>
      <c r="K26" s="122" t="str">
        <f t="shared" si="5"/>
        <v/>
      </c>
      <c r="L26" s="122" t="str">
        <f t="shared" si="6"/>
        <v/>
      </c>
      <c r="M26" s="31" t="str">
        <f>IF(H26="","",SUM($H$5:$H26))</f>
        <v/>
      </c>
      <c r="N26" s="122" t="str">
        <f t="shared" si="7"/>
        <v/>
      </c>
      <c r="P26" s="165" t="str">
        <f>IF($F$26="","",SUM('Curve-Mixed'!$M$144:$M$150))</f>
        <v/>
      </c>
      <c r="Q26" s="165" t="str">
        <f>IF($F$26="","",SUM('Curve-Mixed'!$Q$144:$Q$150))</f>
        <v/>
      </c>
    </row>
    <row r="27" spans="1:17" x14ac:dyDescent="0.25">
      <c r="A27" s="92" t="str">
        <f t="shared" si="1"/>
        <v/>
      </c>
      <c r="B27" s="92">
        <f>MAX('Curve-Mixed'!G151:G157)</f>
        <v>0</v>
      </c>
      <c r="C27" s="92"/>
      <c r="D27" s="92" t="str">
        <f t="shared" si="0"/>
        <v/>
      </c>
      <c r="E27" s="161" t="str">
        <f t="shared" si="2"/>
        <v/>
      </c>
      <c r="F27" s="29" t="str">
        <f>IFERROR(IF('Кормовой бюджет'!$C$4="Imperial",VLOOKUP(D27,'Curve-Mixed'!$G$2:$R$185,12,FALSE),VLOOKUP(D27,'Curve-Mixed'!$G$2:$R$185,2,FALSE)),"")</f>
        <v/>
      </c>
      <c r="G27" s="29" t="str">
        <f>IFERROR(IF(F28="",F27+(MAX('Кормовой бюджет'!$C$24:$J$24)-F27),F27),"")</f>
        <v/>
      </c>
      <c r="H27" s="31" t="str">
        <f>IF(F27="","",IF('Кормовой бюджет'!$C$4="Imperial",Q27,P27))</f>
        <v/>
      </c>
      <c r="I27" s="31" t="str">
        <f t="shared" si="3"/>
        <v/>
      </c>
      <c r="J27" s="122" t="str">
        <f t="shared" si="4"/>
        <v/>
      </c>
      <c r="K27" s="122" t="str">
        <f t="shared" si="5"/>
        <v/>
      </c>
      <c r="L27" s="122" t="str">
        <f t="shared" si="6"/>
        <v/>
      </c>
      <c r="M27" s="31" t="str">
        <f>IF(H27="","",SUM($H$5:$H27))</f>
        <v/>
      </c>
      <c r="N27" s="122" t="str">
        <f t="shared" si="7"/>
        <v/>
      </c>
      <c r="P27" s="165" t="str">
        <f>IF($F$27="","",SUM('Curve-Mixed'!$M$151:$M$157))</f>
        <v/>
      </c>
      <c r="Q27" s="165" t="str">
        <f>IF($F$27="","",SUM('Curve-Mixed'!$Q$151:$Q$157))</f>
        <v/>
      </c>
    </row>
    <row r="28" spans="1:17" x14ac:dyDescent="0.25">
      <c r="A28" s="92" t="str">
        <f t="shared" si="1"/>
        <v/>
      </c>
      <c r="B28" s="92">
        <f>MAX('Curve-Mixed'!G158:G164)</f>
        <v>0</v>
      </c>
      <c r="C28" s="92"/>
      <c r="D28" s="92" t="str">
        <f t="shared" si="0"/>
        <v/>
      </c>
      <c r="E28" s="161" t="str">
        <f t="shared" si="2"/>
        <v/>
      </c>
      <c r="F28" s="29" t="str">
        <f>IFERROR(IF('Кормовой бюджет'!$C$4="Imperial",VLOOKUP(D28,'Curve-Mixed'!$G$2:$R$185,12,FALSE),VLOOKUP(D28,'Curve-Mixed'!$G$2:$R$185,2,FALSE)),"")</f>
        <v/>
      </c>
      <c r="G28" s="29" t="str">
        <f>IFERROR(IF(F29="",F28+(MAX('Кормовой бюджет'!$C$24:$J$24)-F28),F28),"")</f>
        <v/>
      </c>
      <c r="H28" s="31" t="str">
        <f>IF(F28="","",IF('Кормовой бюджет'!$C$4="Imperial",Q28,P28))</f>
        <v/>
      </c>
      <c r="I28" s="31" t="str">
        <f t="shared" si="3"/>
        <v/>
      </c>
      <c r="J28" s="122" t="str">
        <f t="shared" si="4"/>
        <v/>
      </c>
      <c r="K28" s="122" t="str">
        <f t="shared" si="5"/>
        <v/>
      </c>
      <c r="L28" s="122" t="str">
        <f t="shared" si="6"/>
        <v/>
      </c>
      <c r="M28" s="31" t="str">
        <f>IF(H28="","",SUM($H$5:$H28))</f>
        <v/>
      </c>
      <c r="N28" s="122" t="str">
        <f t="shared" si="7"/>
        <v/>
      </c>
      <c r="P28" s="165" t="str">
        <f>IF($F$28="","",SUM('Curve-Mixed'!$M$158:$M$164))</f>
        <v/>
      </c>
      <c r="Q28" s="165" t="str">
        <f>IF($F$28="","",SUM('Curve-Mixed'!$Q$158:$Q$164))</f>
        <v/>
      </c>
    </row>
    <row r="29" spans="1:17" x14ac:dyDescent="0.25">
      <c r="A29" s="92" t="str">
        <f t="shared" si="1"/>
        <v/>
      </c>
      <c r="B29" s="92">
        <f>MAX('Curve-Mixed'!G165:G171)</f>
        <v>0</v>
      </c>
      <c r="C29" s="92"/>
      <c r="D29" s="92" t="str">
        <f t="shared" si="0"/>
        <v/>
      </c>
      <c r="E29" s="161" t="str">
        <f t="shared" si="2"/>
        <v/>
      </c>
      <c r="F29" s="29" t="str">
        <f>IFERROR(IF('Кормовой бюджет'!$C$4="Imperial",VLOOKUP(D29,'Curve-Mixed'!$G$2:$R$185,12,FALSE),VLOOKUP(D29,'Curve-Mixed'!$G$2:$R$185,2,FALSE)),"")</f>
        <v/>
      </c>
      <c r="G29" s="29" t="str">
        <f>IFERROR(IF(F30="",F29+(MAX('Кормовой бюджет'!$C$24:$J$24)-F29),F29),"")</f>
        <v/>
      </c>
      <c r="H29" s="31" t="str">
        <f>IF(F29="","",IF('Кормовой бюджет'!$C$4="Imperial",Q29,P29))</f>
        <v/>
      </c>
      <c r="I29" s="31" t="str">
        <f t="shared" si="3"/>
        <v/>
      </c>
      <c r="J29" s="122" t="str">
        <f t="shared" si="4"/>
        <v/>
      </c>
      <c r="K29" s="122" t="str">
        <f t="shared" si="5"/>
        <v/>
      </c>
      <c r="L29" s="122" t="str">
        <f t="shared" si="6"/>
        <v/>
      </c>
      <c r="M29" s="31" t="str">
        <f>IF(H29="","",SUM($H$5:$H29))</f>
        <v/>
      </c>
      <c r="N29" s="122" t="str">
        <f t="shared" si="7"/>
        <v/>
      </c>
      <c r="P29" s="165" t="str">
        <f>IF($F$29="","",SUM('Curve-Mixed'!$M$165:$M$171))</f>
        <v/>
      </c>
      <c r="Q29" s="165" t="str">
        <f>IF($F$29="","",SUM('Curve-Mixed'!$Q$165:$Q$171))</f>
        <v/>
      </c>
    </row>
    <row r="30" spans="1:17" x14ac:dyDescent="0.25">
      <c r="A30" s="92" t="str">
        <f t="shared" si="1"/>
        <v/>
      </c>
      <c r="B30" s="92">
        <f>MAX('Curve-Mixed'!G172:G178)</f>
        <v>0</v>
      </c>
      <c r="C30" s="92"/>
      <c r="D30" s="92" t="str">
        <f t="shared" si="0"/>
        <v/>
      </c>
      <c r="E30" s="161" t="str">
        <f>IF(F30="","",E29+1)</f>
        <v/>
      </c>
      <c r="F30" s="29" t="str">
        <f>IFERROR(IF('Кормовой бюджет'!$C$4="Imperial",VLOOKUP(D30,'Curve-Mixed'!$G$2:$R$185,12,FALSE),VLOOKUP(D30,'Curve-Mixed'!$G$2:$R$185,2,FALSE)),"")</f>
        <v/>
      </c>
      <c r="G30" s="29" t="str">
        <f>IFERROR(IF(F31="",F30+(MAX('Кормовой бюджет'!$C$24:$J$24)-F30),F30),"")</f>
        <v/>
      </c>
      <c r="H30" s="31" t="str">
        <f>IF(F30="","",IF('Кормовой бюджет'!$C$4="Imperial",Q30,P30))</f>
        <v/>
      </c>
      <c r="I30" s="31" t="str">
        <f t="shared" si="3"/>
        <v/>
      </c>
      <c r="J30" s="122" t="str">
        <f t="shared" si="4"/>
        <v/>
      </c>
      <c r="K30" s="122" t="str">
        <f t="shared" si="5"/>
        <v/>
      </c>
      <c r="L30" s="122" t="str">
        <f t="shared" si="6"/>
        <v/>
      </c>
      <c r="M30" s="31" t="str">
        <f>IF(H30="","",SUM($H$5:$H30))</f>
        <v/>
      </c>
      <c r="N30" s="122" t="str">
        <f t="shared" si="7"/>
        <v/>
      </c>
      <c r="P30" s="165" t="str">
        <f>IF($F$30="","",SUM('Curve-Mixed'!$Q$172:$Q$178))</f>
        <v/>
      </c>
      <c r="Q30" s="165" t="str">
        <f>IF($F$30="","",SUM('Curve-Mixed'!$Q$172:$Q$178))</f>
        <v/>
      </c>
    </row>
    <row r="31" spans="1:17" s="172" customFormat="1" x14ac:dyDescent="0.25">
      <c r="A31" s="161" t="str">
        <f t="shared" si="1"/>
        <v/>
      </c>
      <c r="B31" s="161">
        <f>MAX('Curve-Mixed'!G179:G185)</f>
        <v>0</v>
      </c>
      <c r="C31" s="161"/>
      <c r="D31" s="161" t="str">
        <f t="shared" si="0"/>
        <v/>
      </c>
      <c r="E31" s="169" t="str">
        <f t="shared" si="2"/>
        <v/>
      </c>
      <c r="F31" s="164" t="str">
        <f>IFERROR(IF('Кормовой бюджет'!$C$4="Imperial",VLOOKUP(D31,'Curve-Mixed'!$G$2:$R$185,12,FALSE),VLOOKUP(D31,'Curve-Mixed'!$G$2:$R$185,2,FALSE)),"")</f>
        <v/>
      </c>
      <c r="G31" s="164" t="str">
        <f>IFERROR(IF(F32="",F31+(MAX('Кормовой бюджет'!$C$24:$J$24)-F31),F31),"")</f>
        <v/>
      </c>
      <c r="H31" s="165" t="str">
        <f>IF(F31="","",IF('Кормовой бюджет'!$C$4="Imperial",Q31,P31))</f>
        <v/>
      </c>
      <c r="I31" s="165" t="str">
        <f t="shared" si="3"/>
        <v/>
      </c>
      <c r="J31" s="167" t="str">
        <f t="shared" si="4"/>
        <v/>
      </c>
      <c r="K31" s="167" t="str">
        <f t="shared" si="5"/>
        <v/>
      </c>
      <c r="L31" s="167" t="str">
        <f t="shared" si="6"/>
        <v/>
      </c>
      <c r="M31" s="165" t="str">
        <f>IF(H31="","",SUM($H$5:$H31))</f>
        <v/>
      </c>
      <c r="N31" s="122" t="str">
        <f t="shared" si="7"/>
        <v/>
      </c>
      <c r="P31" s="170" t="str">
        <f>IF($F$31="","",SUM('Curve-Mixed'!$Q$179:$Q$185))</f>
        <v/>
      </c>
      <c r="Q31" s="170" t="str">
        <f>IF($F$31="","",SUM('Curve-Mixed'!$Q$179:$Q$185))</f>
        <v/>
      </c>
    </row>
    <row r="32" spans="1:17" s="166" customFormat="1" x14ac:dyDescent="0.25">
      <c r="D32" s="161"/>
      <c r="E32" s="161"/>
      <c r="F32" s="164"/>
      <c r="G32" s="164"/>
    </row>
    <row r="33" spans="4:7" x14ac:dyDescent="0.25">
      <c r="D33" s="92"/>
      <c r="E33" s="92"/>
      <c r="F33" s="29"/>
      <c r="G33" s="29"/>
    </row>
  </sheetData>
  <mergeCells count="12">
    <mergeCell ref="B3:B4"/>
    <mergeCell ref="D3:D4"/>
    <mergeCell ref="E3:E4"/>
    <mergeCell ref="F3:F4"/>
    <mergeCell ref="G3:G4"/>
    <mergeCell ref="M3:M4"/>
    <mergeCell ref="N3:N4"/>
    <mergeCell ref="H3:H4"/>
    <mergeCell ref="I3:I4"/>
    <mergeCell ref="J3:J4"/>
    <mergeCell ref="K3:K4"/>
    <mergeCell ref="L3:L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392D0-6312-41F2-B503-E785C1A032FC}">
  <sheetPr codeName="Worksheet____3"/>
  <dimension ref="A1:Q32"/>
  <sheetViews>
    <sheetView showGridLines="0" showRowColHeaders="0" zoomScaleNormal="100" workbookViewId="0">
      <selection activeCell="S11" sqref="S11"/>
    </sheetView>
  </sheetViews>
  <sheetFormatPr defaultRowHeight="15" x14ac:dyDescent="0.25"/>
  <cols>
    <col min="1" max="1" width="4.85546875" style="168" customWidth="1"/>
    <col min="2" max="2" width="8.85546875" hidden="1" customWidth="1"/>
    <col min="3" max="3" width="4.28515625" hidden="1" customWidth="1"/>
    <col min="4" max="4" width="9.140625" customWidth="1"/>
    <col min="5" max="5" width="17.140625" customWidth="1"/>
    <col min="6" max="6" width="9.5703125" hidden="1" customWidth="1"/>
    <col min="7" max="8" width="17.140625" customWidth="1"/>
    <col min="9" max="9" width="13.28515625" customWidth="1"/>
    <col min="10" max="10" width="17.140625" customWidth="1"/>
    <col min="11" max="11" width="19.85546875" customWidth="1"/>
    <col min="12" max="12" width="17.140625" customWidth="1"/>
    <col min="13" max="13" width="19.140625" customWidth="1"/>
    <col min="14" max="14" width="19.7109375" customWidth="1"/>
    <col min="16" max="17" width="20.7109375" hidden="1" customWidth="1"/>
  </cols>
  <sheetData>
    <row r="1" spans="1:17" ht="15.75" thickBot="1" x14ac:dyDescent="0.3">
      <c r="A1" s="172"/>
      <c r="D1" s="173"/>
      <c r="E1" s="173"/>
      <c r="F1" s="173"/>
      <c r="G1" s="173"/>
      <c r="H1" s="173"/>
      <c r="I1" s="173"/>
      <c r="J1" s="173"/>
      <c r="K1" s="173"/>
      <c r="L1" s="173"/>
      <c r="M1" s="173"/>
      <c r="N1" s="173"/>
    </row>
    <row r="2" spans="1:17" ht="16.5" thickBot="1" x14ac:dyDescent="0.3">
      <c r="A2" s="182"/>
      <c r="D2" s="233" t="s">
        <v>32</v>
      </c>
      <c r="E2" s="233"/>
      <c r="F2" s="233"/>
      <c r="G2" s="233"/>
      <c r="H2" s="233"/>
      <c r="I2" s="233"/>
      <c r="J2" s="233"/>
      <c r="K2" s="233"/>
      <c r="L2" s="233"/>
      <c r="M2" s="233"/>
      <c r="N2" s="233"/>
    </row>
    <row r="3" spans="1:17" ht="14.45" customHeight="1" x14ac:dyDescent="0.25">
      <c r="A3" s="183"/>
      <c r="C3" s="230" t="s">
        <v>72</v>
      </c>
      <c r="D3" s="231" t="s">
        <v>13</v>
      </c>
      <c r="E3" s="231" t="s">
        <v>108</v>
      </c>
      <c r="F3" s="231" t="str">
        <f>IF('Кормовой бюджет'!$C$4="Imperial","Weight, lb","Weight, kg")</f>
        <v>Weight, kg</v>
      </c>
      <c r="G3" s="231" t="str">
        <f>IF('Кормовой бюджет'!$C$4="Imperial","Weight, lb","Weight, kg")</f>
        <v>Weight, kg</v>
      </c>
      <c r="H3" s="227" t="str">
        <f>IF('Кормовой бюджет'!$C$4="Imperial","Total Feed per Week, lb","Total Feed per Week, kg")</f>
        <v>Total Feed per Week, kg</v>
      </c>
      <c r="I3" s="229" t="str">
        <f>IF('Кормовой бюджет'!$C$4="Imperial","Incremental ADFI, lb","Incremental ADFI, kg")</f>
        <v>Incremental ADFI, kg</v>
      </c>
      <c r="J3" s="227" t="str">
        <f>IF('Кормовой бюджет'!$C$4="Imperial","Incremental ADG, lb", "Incremental ADG, kg")</f>
        <v>Incremental ADG, kg</v>
      </c>
      <c r="K3" s="227" t="s">
        <v>110</v>
      </c>
      <c r="L3" s="227" t="str">
        <f>IF('Кормовой бюджет'!$C$4="Imperial","Cumulative ADG, lb","Cumulative ADG, kg")</f>
        <v>Cumulative ADG, kg</v>
      </c>
      <c r="M3" s="227" t="str">
        <f>IF('Кормовой бюджет'!$C$4="Imperial","Cumulative Feed Intake, lb","Cumulative Feed Intake, kg")</f>
        <v>Cumulative Feed Intake, kg</v>
      </c>
      <c r="N3" s="227" t="s">
        <v>109</v>
      </c>
    </row>
    <row r="4" spans="1:17" ht="15.75" thickBot="1" x14ac:dyDescent="0.3">
      <c r="A4" s="183"/>
      <c r="B4" t="s">
        <v>115</v>
      </c>
      <c r="C4" s="230"/>
      <c r="D4" s="232"/>
      <c r="E4" s="232"/>
      <c r="F4" s="232"/>
      <c r="G4" s="232"/>
      <c r="H4" s="228"/>
      <c r="I4" s="228"/>
      <c r="J4" s="228"/>
      <c r="K4" s="228"/>
      <c r="L4" s="228"/>
      <c r="M4" s="228"/>
      <c r="N4" s="228"/>
      <c r="P4" t="s">
        <v>130</v>
      </c>
      <c r="Q4" t="s">
        <v>111</v>
      </c>
    </row>
    <row r="5" spans="1:17" x14ac:dyDescent="0.25">
      <c r="C5" s="92">
        <f>'Curve-Barrows'!I3</f>
        <v>21</v>
      </c>
      <c r="D5" s="92">
        <f>IF(C5&gt;0,C5,"")</f>
        <v>21</v>
      </c>
      <c r="E5" s="92">
        <v>1</v>
      </c>
      <c r="F5" s="29">
        <f>IFERROR(IF('Кормовой бюджет'!$C$4="Imperial",VLOOKUP(D5,'Curve-Barrows'!$G$2:$R$185,12,FALSE),VLOOKUP(D5,'Curve-Barrows'!$G$2:$R$185,2,FALSE)),"")</f>
        <v>5.9425449780322959</v>
      </c>
      <c r="G5" s="29">
        <f>IFERROR(IF(F6="",F5+(MAX('Кормовой бюджет'!$C$38:$J$38)-F5),F5),"")</f>
        <v>5.9425449780322959</v>
      </c>
    </row>
    <row r="6" spans="1:17" x14ac:dyDescent="0.25">
      <c r="A6" s="184"/>
      <c r="B6" s="92">
        <f>IFERROR(IF(D6-D5&lt;0,"",D6-D5),"")</f>
        <v>7</v>
      </c>
      <c r="C6" s="92">
        <f>MAX('Curve-Barrows'!G4:G10)</f>
        <v>28</v>
      </c>
      <c r="D6" s="92">
        <f t="shared" ref="D6:D31" si="0">IF(C6&gt;0,C6,"")</f>
        <v>28</v>
      </c>
      <c r="E6" s="92">
        <f>IF(F6="","",E5+1)</f>
        <v>2</v>
      </c>
      <c r="F6" s="29">
        <f>IFERROR(IF('Кормовой бюджет'!$C$4="Imperial",VLOOKUP(D6,'Curve-Barrows'!$G$2:$R$185,12,FALSE),VLOOKUP(D6,'Curve-Barrows'!$G$2:$R$185,2,FALSE)),"")</f>
        <v>7.0861635121023996</v>
      </c>
      <c r="G6" s="29">
        <f>IFERROR(IF(F7="",F6+(MAX('Кормовой бюджет'!$C$38:$J$38)-F6),F6),"")</f>
        <v>7.0861635121023996</v>
      </c>
      <c r="H6" s="31">
        <f>IF(F6="","",IF('Кормовой бюджет'!$C$4="Imperial",Q6,P6))</f>
        <v>1.338776830344321</v>
      </c>
      <c r="I6" s="31">
        <f>IF(F6="","",H6/B6)</f>
        <v>0.19125383290633158</v>
      </c>
      <c r="J6" s="122">
        <f>IF(G6="","",(G6-G5)/(D6-D5))</f>
        <v>0.16337407629572911</v>
      </c>
      <c r="K6" s="122">
        <f>IF(F6="","",((H6/B6)/J6))</f>
        <v>1.1706498193760946</v>
      </c>
      <c r="L6" s="122">
        <f>IF(G6="","",(G6-G5)/(D6-D5))</f>
        <v>0.16337407629572911</v>
      </c>
      <c r="M6" s="31">
        <f>IF(H6="","",SUM($H$5:$H6))</f>
        <v>1.338776830344321</v>
      </c>
      <c r="N6" s="122">
        <f>IF(F6="","",M6/(L6*7*E5))</f>
        <v>1.1706498193760946</v>
      </c>
      <c r="P6" s="31">
        <f>IF($F$6="","",SUM('Curve-Barrows'!$M$4:$M$10))</f>
        <v>1.338776830344321</v>
      </c>
      <c r="Q6" s="31">
        <f>IF($F$6="","",SUM('Curve-Barrows'!$Q$4:$Q$10))</f>
        <v>2.9514976857840911</v>
      </c>
    </row>
    <row r="7" spans="1:17" x14ac:dyDescent="0.25">
      <c r="A7" s="184"/>
      <c r="B7" s="92">
        <f t="shared" ref="B7:B31" si="1">IFERROR(IF(D7-D6&lt;0,"",D7-D6),"")</f>
        <v>7</v>
      </c>
      <c r="C7" s="92">
        <f>MAX('Curve-Barrows'!G11:G17)</f>
        <v>35</v>
      </c>
      <c r="D7" s="92">
        <f t="shared" si="0"/>
        <v>35</v>
      </c>
      <c r="E7" s="92">
        <f t="shared" ref="E7:E31" si="2">IF(F7="","",E6+1)</f>
        <v>3</v>
      </c>
      <c r="F7" s="29">
        <f>IFERROR(IF('Кормовой бюджет'!$C$4="Imperial",VLOOKUP(D7,'Curve-Barrows'!$G$2:$R$185,12,FALSE),VLOOKUP(D7,'Curve-Barrows'!$G$2:$R$185,2,FALSE)),"")</f>
        <v>9.3190111633466763</v>
      </c>
      <c r="G7" s="29">
        <f>IFERROR(IF(F8="",F7+(MAX('Кормовой бюджет'!$C$38:$J$38)-F7),F7),"")</f>
        <v>9.3190111633466763</v>
      </c>
      <c r="H7" s="31">
        <f>IF(F7="","",IF('Кормовой бюджет'!$C$4="Imperial",Q7,P7))</f>
        <v>2.8530181084087363</v>
      </c>
      <c r="I7" s="31">
        <f t="shared" ref="I7:I31" si="3">IF(F7="","",H7/B7)</f>
        <v>0.40757401548696232</v>
      </c>
      <c r="J7" s="122">
        <f>IF(G7="","",(G7-G6)/(D7-D6))</f>
        <v>0.31897823589203955</v>
      </c>
      <c r="K7" s="122">
        <f t="shared" ref="K7:K31" si="4">IF(F7="","",((H7/B7)/J7))</f>
        <v>1.2777486662911655</v>
      </c>
      <c r="L7" s="122">
        <f>IF(G7="","",(G7-$G$5)/(D7-$D$5))</f>
        <v>0.24117615609388432</v>
      </c>
      <c r="M7" s="31">
        <f>IF(H7="","",SUM($H$5:$H7))</f>
        <v>4.1917949387530573</v>
      </c>
      <c r="N7" s="122">
        <f>IF(F7="","",M7/(L7*7*E6))</f>
        <v>1.2414739875035243</v>
      </c>
      <c r="P7" s="31">
        <f>IF($F$7="","",SUM('Curve-Barrows'!$M$11:$M$17))</f>
        <v>2.8530181084087363</v>
      </c>
      <c r="Q7" s="31">
        <f>IF($F$7="","",SUM('Curve-Barrows'!$Q$11:$Q$17))</f>
        <v>6.2898282623421027</v>
      </c>
    </row>
    <row r="8" spans="1:17" x14ac:dyDescent="0.25">
      <c r="A8" s="184"/>
      <c r="B8" s="92">
        <f t="shared" si="1"/>
        <v>7</v>
      </c>
      <c r="C8" s="92">
        <f>MAX('Curve-Barrows'!G18:G24)</f>
        <v>42</v>
      </c>
      <c r="D8" s="92">
        <f t="shared" si="0"/>
        <v>42</v>
      </c>
      <c r="E8" s="92">
        <f t="shared" si="2"/>
        <v>4</v>
      </c>
      <c r="F8" s="29">
        <f>IFERROR(IF('Кормовой бюджет'!$C$4="Imperial",VLOOKUP(D8,'Curve-Barrows'!$G$2:$R$185,12,FALSE),VLOOKUP(D8,'Curve-Barrows'!$G$2:$R$185,2,FALSE)),"")</f>
        <v>12.429293381203475</v>
      </c>
      <c r="G8" s="29">
        <f>IFERROR(IF(F9="",F8+(MAX('Кормовой бюджет'!$C$38:$J$38)-F8),F8),"")</f>
        <v>12.429293381203475</v>
      </c>
      <c r="H8" s="31">
        <f>IF(F8="","",IF('Кормовой бюджет'!$C$4="Imperial",Q8,P8))</f>
        <v>4.3490929684932116</v>
      </c>
      <c r="I8" s="31">
        <f t="shared" si="3"/>
        <v>0.62129899549903023</v>
      </c>
      <c r="J8" s="122">
        <f t="shared" ref="J8:J31" si="5">IF(G8="","",(G8-G7)/(D8-D7))</f>
        <v>0.44432603112239988</v>
      </c>
      <c r="K8" s="122">
        <f t="shared" si="4"/>
        <v>1.3982952876507906</v>
      </c>
      <c r="L8" s="122">
        <f>IF(G8="","",(G8-$G$5)/(D8-$D$5))</f>
        <v>0.30889278110338952</v>
      </c>
      <c r="M8" s="31">
        <f>IF(H8="","",SUM($H$5:$H8))</f>
        <v>8.5408879072462689</v>
      </c>
      <c r="N8" s="122">
        <f t="shared" ref="N8:N31" si="6">IF(F8="","",M8/(L8*7*E7))</f>
        <v>1.3166670535689162</v>
      </c>
      <c r="P8" s="31">
        <f>IF($F$8="","",SUM('Curve-Barrows'!$M$18:$M$24))</f>
        <v>4.3490929684932116</v>
      </c>
      <c r="Q8" s="31">
        <f>IF($F$8="","",SUM('Curve-Barrows'!$Q$18:$Q$24))</f>
        <v>9.5881087428635805</v>
      </c>
    </row>
    <row r="9" spans="1:17" x14ac:dyDescent="0.25">
      <c r="A9" s="184"/>
      <c r="B9" s="92">
        <f t="shared" si="1"/>
        <v>7</v>
      </c>
      <c r="C9" s="92">
        <f>MAX('Curve-Barrows'!G25:G31)</f>
        <v>49</v>
      </c>
      <c r="D9" s="92">
        <f t="shared" si="0"/>
        <v>49</v>
      </c>
      <c r="E9" s="92">
        <f t="shared" si="2"/>
        <v>5</v>
      </c>
      <c r="F9" s="29">
        <f>IFERROR(IF('Кормовой бюджет'!$C$4="Imperial",VLOOKUP(D9,'Curve-Barrows'!$G$2:$R$185,12,FALSE),VLOOKUP(D9,'Curve-Barrows'!$G$2:$R$185,2,FALSE)),"")</f>
        <v>16.180805199242954</v>
      </c>
      <c r="G9" s="29">
        <f>IFERROR(IF(F10="",F9+(MAX('Кормовой бюджет'!$C$38:$J$38)-F9),F9),"")</f>
        <v>16.180805199242954</v>
      </c>
      <c r="H9" s="31">
        <f>IF(F9="","",IF('Кормовой бюджет'!$C$4="Imperial",Q9,P9))</f>
        <v>5.6448668968969562</v>
      </c>
      <c r="I9" s="31">
        <f t="shared" si="3"/>
        <v>0.80640955669956516</v>
      </c>
      <c r="J9" s="122">
        <f t="shared" si="5"/>
        <v>0.53593025971992547</v>
      </c>
      <c r="K9" s="122">
        <f t="shared" si="4"/>
        <v>1.5046912206841816</v>
      </c>
      <c r="L9" s="122">
        <f t="shared" ref="L9:L31" si="7">IF(G9="","",(G9-$G$5)/(D9-$D$5))</f>
        <v>0.36565215075752355</v>
      </c>
      <c r="M9" s="31">
        <f>IF(H9="","",SUM($H$5:$H9))</f>
        <v>14.185754804143226</v>
      </c>
      <c r="N9" s="122">
        <f t="shared" si="6"/>
        <v>1.3855630251275037</v>
      </c>
      <c r="P9" s="31">
        <f>IF($F$9="","",SUM('Curve-Barrows'!$M$25:$M$31))</f>
        <v>5.6448668968969562</v>
      </c>
      <c r="Q9" s="31">
        <f>IF($F$9="","",SUM('Curve-Barrows'!$Q$25:$Q$31))</f>
        <v>12.444801258224331</v>
      </c>
    </row>
    <row r="10" spans="1:17" x14ac:dyDescent="0.25">
      <c r="A10" s="184"/>
      <c r="B10" s="92">
        <f t="shared" si="1"/>
        <v>7</v>
      </c>
      <c r="C10" s="92">
        <f>MAX('Curve-Barrows'!G32:G38)</f>
        <v>56</v>
      </c>
      <c r="D10" s="92">
        <f t="shared" si="0"/>
        <v>56</v>
      </c>
      <c r="E10" s="92">
        <f t="shared" si="2"/>
        <v>6</v>
      </c>
      <c r="F10" s="29">
        <f>IFERROR(IF('Кормовой бюджет'!$C$4="Imperial",VLOOKUP(D10,'Curve-Barrows'!$G$2:$R$185,12,FALSE),VLOOKUP(D10,'Curve-Barrows'!$G$2:$R$185,2,FALSE)),"")</f>
        <v>20.561343253990987</v>
      </c>
      <c r="G10" s="29">
        <f>IFERROR(IF(F11="",F10+(MAX('Кормовой бюджет'!$C$38:$J$38)-F10),F10),"")</f>
        <v>20.561343253990987</v>
      </c>
      <c r="H10" s="31">
        <f>IF(F10="","",IF('Кормовой бюджет'!$C$4="Imperial",Q10,P10))</f>
        <v>7.0234813340822342</v>
      </c>
      <c r="I10" s="31">
        <f t="shared" si="3"/>
        <v>1.003354476297462</v>
      </c>
      <c r="J10" s="122">
        <f t="shared" si="5"/>
        <v>0.6257911506782905</v>
      </c>
      <c r="K10" s="122">
        <f t="shared" si="4"/>
        <v>1.6033375914790955</v>
      </c>
      <c r="L10" s="122">
        <f t="shared" si="7"/>
        <v>0.41767995074167691</v>
      </c>
      <c r="M10" s="31">
        <f>IF(H10="","",SUM($H$5:$H10))</f>
        <v>21.20923613822546</v>
      </c>
      <c r="N10" s="122">
        <f t="shared" si="6"/>
        <v>1.4508193996427914</v>
      </c>
      <c r="P10" s="31">
        <f>IF($F$10="","",SUM('Curve-Barrows'!$M$32:$M$38))</f>
        <v>7.0234813340822342</v>
      </c>
      <c r="Q10" s="31">
        <f>IF($F$10="","",SUM('Curve-Barrows'!$Q$32:$Q$38))</f>
        <v>15.484125833250314</v>
      </c>
    </row>
    <row r="11" spans="1:17" x14ac:dyDescent="0.25">
      <c r="A11" s="184"/>
      <c r="B11" s="92">
        <f t="shared" si="1"/>
        <v>7</v>
      </c>
      <c r="C11" s="92">
        <f>MAX('Curve-Barrows'!G39:G45)</f>
        <v>63</v>
      </c>
      <c r="D11" s="92">
        <f t="shared" si="0"/>
        <v>63</v>
      </c>
      <c r="E11" s="92">
        <f t="shared" si="2"/>
        <v>7</v>
      </c>
      <c r="F11" s="29">
        <f>IFERROR(IF('Кормовой бюджет'!$C$4="Imperial",VLOOKUP(D11,'Curve-Barrows'!$G$2:$R$185,12,FALSE),VLOOKUP(D11,'Curve-Barrows'!$G$2:$R$185,2,FALSE)),"")</f>
        <v>25.734930626210435</v>
      </c>
      <c r="G11" s="29">
        <f>IFERROR(IF(F12="",F11+(MAX('Кормовой бюджет'!$C$38:$J$38)-F11),F11),"")</f>
        <v>25.734930626210435</v>
      </c>
      <c r="H11" s="31">
        <f>IF(F11="","",IF('Кормовой бюджет'!$C$4="Imperial",Q11,P11))</f>
        <v>8.8415583106829629</v>
      </c>
      <c r="I11" s="31">
        <f t="shared" si="3"/>
        <v>1.2630797586689948</v>
      </c>
      <c r="J11" s="122">
        <f t="shared" si="5"/>
        <v>0.739083910317064</v>
      </c>
      <c r="K11" s="122">
        <f t="shared" si="4"/>
        <v>1.7089801861971785</v>
      </c>
      <c r="L11" s="122">
        <f t="shared" si="7"/>
        <v>0.47124727733757477</v>
      </c>
      <c r="M11" s="31">
        <f>IF(H11="","",SUM($H$5:$H11))</f>
        <v>30.050794448908423</v>
      </c>
      <c r="N11" s="122">
        <f t="shared" si="6"/>
        <v>1.5183007739986389</v>
      </c>
      <c r="P11" s="31">
        <f>IF($F$11="","",SUM('Curve-Barrows'!$M$39:$M$45))</f>
        <v>8.8415583106829629</v>
      </c>
      <c r="Q11" s="31">
        <f>IF($F$11="","",SUM('Curve-Barrows'!$Q$39:$Q$45))</f>
        <v>19.492299464126706</v>
      </c>
    </row>
    <row r="12" spans="1:17" x14ac:dyDescent="0.25">
      <c r="A12" s="184"/>
      <c r="B12" s="92">
        <f t="shared" si="1"/>
        <v>7</v>
      </c>
      <c r="C12" s="92">
        <f>MAX('Curve-Barrows'!G46:G52)</f>
        <v>70</v>
      </c>
      <c r="D12" s="92">
        <f t="shared" si="0"/>
        <v>70</v>
      </c>
      <c r="E12" s="92">
        <f t="shared" si="2"/>
        <v>8</v>
      </c>
      <c r="F12" s="29">
        <f>IFERROR(IF('Кормовой бюджет'!$C$4="Imperial",VLOOKUP(D12,'Curve-Barrows'!$G$2:$R$185,12,FALSE),VLOOKUP(D12,'Curve-Barrows'!$G$2:$R$185,2,FALSE)),"")</f>
        <v>31.60174724322971</v>
      </c>
      <c r="G12" s="29">
        <f>IFERROR(IF(F13="",F12+(MAX('Кормовой бюджет'!$C$38:$J$38)-F12),F12),"")</f>
        <v>31.60174724322971</v>
      </c>
      <c r="H12" s="31">
        <f>IF(F12="","",IF('Кормовой бюджет'!$C$4="Imperial",Q12,P12))</f>
        <v>10.927136360550481</v>
      </c>
      <c r="I12" s="31">
        <f t="shared" si="3"/>
        <v>1.5610194800786401</v>
      </c>
      <c r="J12" s="122">
        <f t="shared" si="5"/>
        <v>0.83811665957418213</v>
      </c>
      <c r="K12" s="122">
        <f t="shared" si="4"/>
        <v>1.8625324556509111</v>
      </c>
      <c r="L12" s="122">
        <f t="shared" si="7"/>
        <v>0.5236571890856615</v>
      </c>
      <c r="M12" s="31">
        <f>IF(H12="","",SUM($H$5:$H12))</f>
        <v>40.977930809458904</v>
      </c>
      <c r="N12" s="122">
        <f t="shared" si="6"/>
        <v>1.5970072017803485</v>
      </c>
      <c r="P12" s="31">
        <f>IF($F$12="","",SUM('Curve-Barrows'!$M$46:$M$52))</f>
        <v>10.927136360550481</v>
      </c>
      <c r="Q12" s="31">
        <f>IF($F$12="","",SUM('Curve-Barrows'!$Q$46:$Q$52))</f>
        <v>24.090212012495893</v>
      </c>
    </row>
    <row r="13" spans="1:17" x14ac:dyDescent="0.25">
      <c r="A13" s="184"/>
      <c r="B13" s="92">
        <f t="shared" si="1"/>
        <v>7</v>
      </c>
      <c r="C13" s="92">
        <f>MAX('Curve-Barrows'!G53:G59)</f>
        <v>77</v>
      </c>
      <c r="D13" s="92">
        <f t="shared" si="0"/>
        <v>77</v>
      </c>
      <c r="E13" s="92">
        <f t="shared" si="2"/>
        <v>9</v>
      </c>
      <c r="F13" s="29">
        <f>IFERROR(IF('Кормовой бюджет'!$C$4="Imperial",VLOOKUP(D13,'Curve-Barrows'!$G$2:$R$185,12,FALSE),VLOOKUP(D13,'Curve-Barrows'!$G$2:$R$185,2,FALSE)),"")</f>
        <v>37.963368858586996</v>
      </c>
      <c r="G13" s="29">
        <f>IFERROR(IF(F14="",F13+(MAX('Кормовой бюджет'!$C$38:$J$38)-F13),F13),"")</f>
        <v>37.963368858586996</v>
      </c>
      <c r="H13" s="31">
        <f>IF(F13="","",IF('Кормовой бюджет'!$C$4="Imperial",Q13,P13))</f>
        <v>12.804329527614376</v>
      </c>
      <c r="I13" s="31">
        <f t="shared" si="3"/>
        <v>1.8291899325163394</v>
      </c>
      <c r="J13" s="122">
        <f t="shared" si="5"/>
        <v>0.90880308790818376</v>
      </c>
      <c r="K13" s="122">
        <f t="shared" si="4"/>
        <v>2.012746167848785</v>
      </c>
      <c r="L13" s="122">
        <f t="shared" si="7"/>
        <v>0.57180042643847684</v>
      </c>
      <c r="M13" s="31">
        <f>IF(H13="","",SUM($H$5:$H13))</f>
        <v>53.782260337073282</v>
      </c>
      <c r="N13" s="122">
        <f t="shared" si="6"/>
        <v>1.6796026403847046</v>
      </c>
      <c r="P13" s="31">
        <f>IF($F$13="","",SUM('Curve-Barrows'!$M$53:$M$59))</f>
        <v>12.804329527614376</v>
      </c>
      <c r="Q13" s="31">
        <f>IF($F$13="","",SUM('Curve-Barrows'!$Q$53:$Q$59))</f>
        <v>28.228714534184899</v>
      </c>
    </row>
    <row r="14" spans="1:17" x14ac:dyDescent="0.25">
      <c r="A14" s="184"/>
      <c r="B14" s="92">
        <f t="shared" si="1"/>
        <v>7</v>
      </c>
      <c r="C14" s="92">
        <f>MAX('Curve-Barrows'!G60:G66)</f>
        <v>84</v>
      </c>
      <c r="D14" s="92">
        <f t="shared" si="0"/>
        <v>84</v>
      </c>
      <c r="E14" s="92">
        <f t="shared" si="2"/>
        <v>10</v>
      </c>
      <c r="F14" s="29">
        <f>IFERROR(IF('Кормовой бюджет'!$C$4="Imperial",VLOOKUP(D14,'Curve-Barrows'!$G$2:$R$185,12,FALSE),VLOOKUP(D14,'Curve-Barrows'!$G$2:$R$185,2,FALSE)),"")</f>
        <v>44.7576575227353</v>
      </c>
      <c r="G14" s="29">
        <f>IFERROR(IF(F15="",F14+(MAX('Кормовой бюджет'!$C$38:$J$38)-F14),F14),"")</f>
        <v>44.7576575227353</v>
      </c>
      <c r="H14" s="31">
        <f>IF(F14="","",IF('Кормовой бюджет'!$C$4="Imperial",Q14,P14))</f>
        <v>14.627179405615646</v>
      </c>
      <c r="I14" s="31">
        <f t="shared" si="3"/>
        <v>2.0895970579450922</v>
      </c>
      <c r="J14" s="122">
        <f t="shared" si="5"/>
        <v>0.97061266630690057</v>
      </c>
      <c r="K14" s="122">
        <f t="shared" si="4"/>
        <v>2.152863990427647</v>
      </c>
      <c r="L14" s="122">
        <f t="shared" si="7"/>
        <v>0.61611289753496834</v>
      </c>
      <c r="M14" s="31">
        <f>IF(H14="","",SUM($H$5:$H14))</f>
        <v>68.409439742688932</v>
      </c>
      <c r="N14" s="122">
        <f t="shared" si="6"/>
        <v>1.7624434210747788</v>
      </c>
      <c r="P14" s="31">
        <f>IF($F$14="","",SUM('Curve-Barrows'!$M$60:$M$66))</f>
        <v>14.627179405615646</v>
      </c>
      <c r="Q14" s="31">
        <f>IF($F$14="","",SUM('Curve-Barrows'!$Q$60:$Q$66))</f>
        <v>32.247410611460779</v>
      </c>
    </row>
    <row r="15" spans="1:17" x14ac:dyDescent="0.25">
      <c r="A15" s="184"/>
      <c r="B15" s="92">
        <f t="shared" si="1"/>
        <v>7</v>
      </c>
      <c r="C15" s="92">
        <f>MAX('Curve-Barrows'!G67:G73)</f>
        <v>91</v>
      </c>
      <c r="D15" s="92">
        <f t="shared" si="0"/>
        <v>91</v>
      </c>
      <c r="E15" s="92">
        <f t="shared" si="2"/>
        <v>11</v>
      </c>
      <c r="F15" s="29">
        <f>IFERROR(IF('Кормовой бюджет'!$C$4="Imperial",VLOOKUP(D15,'Curve-Barrows'!$G$2:$R$185,12,FALSE),VLOOKUP(D15,'Curve-Barrows'!$G$2:$R$185,2,FALSE)),"")</f>
        <v>51.919404378070588</v>
      </c>
      <c r="G15" s="29">
        <f>IFERROR(IF(F16="",F15+(MAX('Кормовой бюджет'!$C$38:$J$38)-F15),F15),"")</f>
        <v>51.919404378070588</v>
      </c>
      <c r="H15" s="31">
        <f>IF(F15="","",IF('Кормовой бюджет'!$C$4="Imperial",Q15,P15))</f>
        <v>16.485082538295657</v>
      </c>
      <c r="I15" s="31">
        <f t="shared" si="3"/>
        <v>2.3550117911850941</v>
      </c>
      <c r="J15" s="122">
        <f t="shared" si="5"/>
        <v>1.0231066936193269</v>
      </c>
      <c r="K15" s="122">
        <f t="shared" si="4"/>
        <v>2.3018242436221774</v>
      </c>
      <c r="L15" s="122">
        <f t="shared" si="7"/>
        <v>0.65681227714340418</v>
      </c>
      <c r="M15" s="31">
        <f>IF(H15="","",SUM($H$5:$H15))</f>
        <v>84.894522280984589</v>
      </c>
      <c r="N15" s="122">
        <f t="shared" si="6"/>
        <v>1.8464619677983896</v>
      </c>
      <c r="P15" s="31">
        <f>IF($F$15="","",SUM('Curve-Barrows'!$M$67:$M$73))</f>
        <v>16.485082538295657</v>
      </c>
      <c r="Q15" s="31">
        <f>IF($F$15="","",SUM('Curve-Barrows'!$Q$67:$Q$73))</f>
        <v>36.343385886970836</v>
      </c>
    </row>
    <row r="16" spans="1:17" x14ac:dyDescent="0.25">
      <c r="A16" s="184"/>
      <c r="B16" s="92">
        <f t="shared" si="1"/>
        <v>7</v>
      </c>
      <c r="C16" s="92">
        <f>MAX('Curve-Barrows'!G74:G80)</f>
        <v>98</v>
      </c>
      <c r="D16" s="92">
        <f t="shared" si="0"/>
        <v>98</v>
      </c>
      <c r="E16" s="92">
        <f t="shared" si="2"/>
        <v>12</v>
      </c>
      <c r="F16" s="29">
        <f>IFERROR(IF('Кормовой бюджет'!$C$4="Imperial",VLOOKUP(D16,'Curve-Barrows'!$G$2:$R$185,12,FALSE),VLOOKUP(D16,'Curve-Barrows'!$G$2:$R$185,2,FALSE)),"")</f>
        <v>59.382255858558715</v>
      </c>
      <c r="G16" s="29">
        <f>IFERROR(IF(F17="",F16+(MAX('Кормовой бюджет'!$C$38:$J$38)-F16),F16),"")</f>
        <v>59.382255858558715</v>
      </c>
      <c r="H16" s="31">
        <f>IF(F16="","",IF('Кормовой бюджет'!$C$4="Imperial",Q16,P16))</f>
        <v>18.318415308500686</v>
      </c>
      <c r="I16" s="31">
        <f t="shared" si="3"/>
        <v>2.6169164726429552</v>
      </c>
      <c r="J16" s="122">
        <f t="shared" si="5"/>
        <v>1.0661216400697324</v>
      </c>
      <c r="K16" s="122">
        <f t="shared" si="4"/>
        <v>2.4546134083459643</v>
      </c>
      <c r="L16" s="122">
        <f t="shared" si="7"/>
        <v>0.69402221922761587</v>
      </c>
      <c r="M16" s="31">
        <f>IF(H16="","",SUM($H$5:$H16))</f>
        <v>103.21293758948528</v>
      </c>
      <c r="N16" s="122">
        <f t="shared" si="6"/>
        <v>1.9313902693118117</v>
      </c>
      <c r="P16" s="31">
        <f>IF($F$16="","",SUM('Curve-Barrows'!$M$74:$M$80))</f>
        <v>18.318415308500686</v>
      </c>
      <c r="Q16" s="31">
        <f>IF($F$16="","",SUM('Curve-Barrows'!$Q$74:$Q$80))</f>
        <v>40.385192785541534</v>
      </c>
    </row>
    <row r="17" spans="1:17" x14ac:dyDescent="0.25">
      <c r="A17" s="184"/>
      <c r="B17" s="92">
        <f t="shared" si="1"/>
        <v>7</v>
      </c>
      <c r="C17" s="92">
        <f>MAX('Curve-Barrows'!G81:G87)</f>
        <v>105</v>
      </c>
      <c r="D17" s="92">
        <f t="shared" si="0"/>
        <v>105</v>
      </c>
      <c r="E17" s="92">
        <f t="shared" si="2"/>
        <v>13</v>
      </c>
      <c r="F17" s="29">
        <f>IFERROR(IF('Кормовой бюджет'!$C$4="Imperial",VLOOKUP(D17,'Curve-Barrows'!$G$2:$R$185,12,FALSE),VLOOKUP(D17,'Curve-Barrows'!$G$2:$R$185,2,FALSE)),"")</f>
        <v>67.080443262940634</v>
      </c>
      <c r="G17" s="29">
        <f>IFERROR(IF(F18="",F17+(MAX('Кормовой бюджет'!$C$38:$J$38)-F17),F17),"")</f>
        <v>67.080443262940634</v>
      </c>
      <c r="H17" s="31">
        <f>IF(F17="","",IF('Кормовой бюджет'!$C$4="Imperial",Q17,P17))</f>
        <v>19.937973205064079</v>
      </c>
      <c r="I17" s="31">
        <f t="shared" si="3"/>
        <v>2.8482818864377255</v>
      </c>
      <c r="J17" s="122">
        <f t="shared" si="5"/>
        <v>1.0997410577688456</v>
      </c>
      <c r="K17" s="122">
        <f t="shared" si="4"/>
        <v>2.5899568505847359</v>
      </c>
      <c r="L17" s="122">
        <f t="shared" si="7"/>
        <v>0.727832122439385</v>
      </c>
      <c r="M17" s="31">
        <f>IF(H17="","",SUM($H$5:$H17))</f>
        <v>123.15091079454936</v>
      </c>
      <c r="N17" s="122">
        <f t="shared" si="6"/>
        <v>2.0143137767126795</v>
      </c>
      <c r="P17" s="31">
        <f>IF($F$17="","",SUM('Curve-Barrows'!$M$81:$M$87))</f>
        <v>19.937973205064079</v>
      </c>
      <c r="Q17" s="31">
        <f>IF($F$17="","",SUM('Curve-Barrows'!$Q$81:$Q$87))</f>
        <v>43.955706761699005</v>
      </c>
    </row>
    <row r="18" spans="1:17" x14ac:dyDescent="0.25">
      <c r="A18" s="184"/>
      <c r="B18" s="92">
        <f t="shared" si="1"/>
        <v>7</v>
      </c>
      <c r="C18" s="92">
        <f>MAX('Curve-Barrows'!G88:G94)</f>
        <v>112</v>
      </c>
      <c r="D18" s="92">
        <f t="shared" si="0"/>
        <v>112</v>
      </c>
      <c r="E18" s="92">
        <f t="shared" si="2"/>
        <v>14</v>
      </c>
      <c r="F18" s="29">
        <f>IFERROR(IF('Кормовой бюджет'!$C$4="Imperial",VLOOKUP(D18,'Curve-Barrows'!$G$2:$R$185,12,FALSE),VLOOKUP(D18,'Curve-Barrows'!$G$2:$R$185,2,FALSE)),"")</f>
        <v>74.950269169446372</v>
      </c>
      <c r="G18" s="29">
        <f>IFERROR(IF(F19="",F18+(MAX('Кормовой бюджет'!$C$38:$J$38)-F18),F18),"")</f>
        <v>74.950269169446372</v>
      </c>
      <c r="H18" s="31">
        <f>IF(F18="","",IF('Кормовой бюджет'!$C$4="Imperial",Q18,P18))</f>
        <v>21.327229939408447</v>
      </c>
      <c r="I18" s="31">
        <f t="shared" si="3"/>
        <v>3.0467471342012069</v>
      </c>
      <c r="J18" s="122">
        <f t="shared" si="5"/>
        <v>1.124260843786534</v>
      </c>
      <c r="K18" s="122">
        <f t="shared" si="4"/>
        <v>2.7100002201799529</v>
      </c>
      <c r="L18" s="122">
        <f t="shared" si="7"/>
        <v>0.75832663946608869</v>
      </c>
      <c r="M18" s="31">
        <f>IF(H18="","",SUM($H$5:$H18))</f>
        <v>144.47814073395782</v>
      </c>
      <c r="N18" s="122">
        <f t="shared" si="6"/>
        <v>2.093651724163565</v>
      </c>
      <c r="P18" s="31">
        <f>IF($F$18="","",SUM('Curve-Barrows'!$M$88:$M$94))</f>
        <v>21.327229939408447</v>
      </c>
      <c r="Q18" s="31">
        <f>IF($F$18="","",SUM('Curve-Barrows'!$Q$88:$Q$94))</f>
        <v>47.018493585790353</v>
      </c>
    </row>
    <row r="19" spans="1:17" x14ac:dyDescent="0.25">
      <c r="A19" s="184"/>
      <c r="B19" s="92">
        <f t="shared" si="1"/>
        <v>7</v>
      </c>
      <c r="C19" s="92">
        <f>MAX('Curve-Barrows'!G95:G101)</f>
        <v>119</v>
      </c>
      <c r="D19" s="92">
        <f t="shared" si="0"/>
        <v>119</v>
      </c>
      <c r="E19" s="92">
        <f t="shared" si="2"/>
        <v>15</v>
      </c>
      <c r="F19" s="29">
        <f>IFERROR(IF('Кормовой бюджет'!$C$4="Imperial",VLOOKUP(D19,'Curve-Barrows'!$G$2:$R$185,12,FALSE),VLOOKUP(D19,'Curve-Barrows'!$G$2:$R$185,2,FALSE)),"")</f>
        <v>82.931323016392525</v>
      </c>
      <c r="G19" s="29">
        <f>IFERROR(IF(F20="",F19+(MAX('Кормовой бюджет'!$C$38:$J$38)-F19),F19),"")</f>
        <v>82.931323016392525</v>
      </c>
      <c r="H19" s="31">
        <f>IF(F19="","",IF('Кормовой бюджет'!$C$4="Imperial",Q19,P19))</f>
        <v>22.488256932986246</v>
      </c>
      <c r="I19" s="31">
        <f t="shared" si="3"/>
        <v>3.2126081332837493</v>
      </c>
      <c r="J19" s="122">
        <f t="shared" si="5"/>
        <v>1.1401505495637363</v>
      </c>
      <c r="K19" s="122">
        <f t="shared" si="4"/>
        <v>2.8177052008728247</v>
      </c>
      <c r="L19" s="122">
        <f t="shared" si="7"/>
        <v>0.78559977590163488</v>
      </c>
      <c r="M19" s="31">
        <f>IF(H19="","",SUM($H$5:$H19))</f>
        <v>166.96639766694406</v>
      </c>
      <c r="N19" s="122">
        <f t="shared" si="6"/>
        <v>2.1687108422964165</v>
      </c>
      <c r="P19" s="31">
        <f>IF($F$19="","",SUM('Curve-Barrows'!$M$95:$M$101))</f>
        <v>22.488256932986246</v>
      </c>
      <c r="Q19" s="31">
        <f>IF($F$19="","",SUM('Curve-Barrows'!$Q$95:$Q$101))</f>
        <v>49.57811996040904</v>
      </c>
    </row>
    <row r="20" spans="1:17" x14ac:dyDescent="0.25">
      <c r="A20" s="184"/>
      <c r="B20" s="92">
        <f t="shared" si="1"/>
        <v>7</v>
      </c>
      <c r="C20" s="92">
        <f>MAX('Curve-Barrows'!G102:G108)</f>
        <v>126</v>
      </c>
      <c r="D20" s="92">
        <f t="shared" si="0"/>
        <v>126</v>
      </c>
      <c r="E20" s="92">
        <f t="shared" si="2"/>
        <v>16</v>
      </c>
      <c r="F20" s="29">
        <f>IFERROR(IF('Кормовой бюджет'!$C$4="Imperial",VLOOKUP(D20,'Curve-Barrows'!$G$2:$R$185,12,FALSE),VLOOKUP(D20,'Curve-Barrows'!$G$2:$R$185,2,FALSE)),"")</f>
        <v>90.967416844669373</v>
      </c>
      <c r="G20" s="29">
        <f>IFERROR(IF(F21="",F20+(MAX('Кормовой бюджет'!$C$38:$J$38)-F20),F20),"")</f>
        <v>90.967416844669373</v>
      </c>
      <c r="H20" s="31">
        <f>IF(F20="","",IF('Кормовой бюджет'!$C$4="Imperial",Q20,P20))</f>
        <v>23.436649650494907</v>
      </c>
      <c r="I20" s="31">
        <f t="shared" si="3"/>
        <v>3.3480928072135581</v>
      </c>
      <c r="J20" s="122">
        <f t="shared" si="5"/>
        <v>1.1480134040395495</v>
      </c>
      <c r="K20" s="122">
        <f t="shared" si="4"/>
        <v>2.9164230970061173</v>
      </c>
      <c r="L20" s="122">
        <f t="shared" si="7"/>
        <v>0.8097606844441626</v>
      </c>
      <c r="M20" s="31">
        <f>IF(H20="","",SUM($H$5:$H20))</f>
        <v>190.40304731743896</v>
      </c>
      <c r="N20" s="122">
        <f t="shared" si="6"/>
        <v>2.2393805852020492</v>
      </c>
      <c r="P20" s="31">
        <f>IF($F$20="","",SUM('Curve-Barrows'!$M$102:$M$108))</f>
        <v>23.436649650494907</v>
      </c>
      <c r="Q20" s="31">
        <f>IF($F$20="","",SUM('Curve-Barrows'!$Q$102:$Q$108))</f>
        <v>51.668967999825277</v>
      </c>
    </row>
    <row r="21" spans="1:17" x14ac:dyDescent="0.25">
      <c r="A21" s="184"/>
      <c r="B21" s="92">
        <f t="shared" si="1"/>
        <v>7</v>
      </c>
      <c r="C21" s="92">
        <f>MAX('Curve-Barrows'!G109:G115)</f>
        <v>133</v>
      </c>
      <c r="D21" s="92">
        <f t="shared" si="0"/>
        <v>133</v>
      </c>
      <c r="E21" s="92">
        <f t="shared" si="2"/>
        <v>17</v>
      </c>
      <c r="F21" s="29">
        <f>IFERROR(IF('Кормовой бюджет'!$C$4="Imperial",VLOOKUP(D21,'Curve-Barrows'!$G$2:$R$185,12,FALSE),VLOOKUP(D21,'Curve-Barrows'!$G$2:$R$185,2,FALSE)),"")</f>
        <v>99.007248624573791</v>
      </c>
      <c r="G21" s="29">
        <f>IFERROR(IF(F22="",F21+(MAX('Кормовой бюджет'!$C$38:$J$38)-F21),F21),"")</f>
        <v>99.007248624573791</v>
      </c>
      <c r="H21" s="31">
        <f>IF(F21="","",IF('Кормовой бюджет'!$C$4="Imperial",Q21,P21))</f>
        <v>24.196259938845692</v>
      </c>
      <c r="I21" s="31">
        <f t="shared" si="3"/>
        <v>3.4566085626922418</v>
      </c>
      <c r="J21" s="122">
        <f t="shared" si="5"/>
        <v>1.1485473971292026</v>
      </c>
      <c r="K21" s="122">
        <f t="shared" si="4"/>
        <v>3.0095480354855573</v>
      </c>
      <c r="L21" s="122">
        <f t="shared" si="7"/>
        <v>0.83093485398697753</v>
      </c>
      <c r="M21" s="31">
        <f>IF(H21="","",SUM($H$5:$H21))</f>
        <v>214.59930725628465</v>
      </c>
      <c r="N21" s="122">
        <f t="shared" si="6"/>
        <v>2.3059151197787076</v>
      </c>
      <c r="P21" s="31">
        <f>IF($F$21="","",SUM('Curve-Barrows'!$M$109:$M$115))</f>
        <v>24.196259938845692</v>
      </c>
      <c r="Q21" s="31">
        <f>IF($F$21="","",SUM('Curve-Barrows'!$Q$109:$Q$115))</f>
        <v>53.343622025312492</v>
      </c>
    </row>
    <row r="22" spans="1:17" x14ac:dyDescent="0.25">
      <c r="A22" s="184"/>
      <c r="B22" s="92">
        <f t="shared" si="1"/>
        <v>7</v>
      </c>
      <c r="C22" s="92">
        <f>MAX('Curve-Barrows'!G116:G122)</f>
        <v>140</v>
      </c>
      <c r="D22" s="92">
        <f t="shared" si="0"/>
        <v>140</v>
      </c>
      <c r="E22" s="92">
        <f t="shared" si="2"/>
        <v>18</v>
      </c>
      <c r="F22" s="29">
        <f>IFERROR(IF('Кормовой бюджет'!$C$4="Imperial",VLOOKUP(D22,'Curve-Barrows'!$G$2:$R$185,12,FALSE),VLOOKUP(D22,'Curve-Barrows'!$G$2:$R$185,2,FALSE)),"")</f>
        <v>107.00481357001502</v>
      </c>
      <c r="G22" s="29">
        <f>IFERROR(IF(F23="",F22+(MAX('Кормовой бюджет'!$C$38:$J$38)-F22),F22),"")</f>
        <v>107.00481357001502</v>
      </c>
      <c r="H22" s="31">
        <f>IF(F22="","",IF('Кормовой бюджет'!$C$4="Imperial",Q22,P22))</f>
        <v>24.794624940965939</v>
      </c>
      <c r="I22" s="31">
        <f t="shared" si="3"/>
        <v>3.5420892772808483</v>
      </c>
      <c r="J22" s="122">
        <f t="shared" si="5"/>
        <v>1.1425092779201751</v>
      </c>
      <c r="K22" s="122">
        <f t="shared" si="4"/>
        <v>3.1002717839883722</v>
      </c>
      <c r="L22" s="122">
        <f t="shared" si="7"/>
        <v>0.84926276127716571</v>
      </c>
      <c r="M22" s="31">
        <f>IF(H22="","",SUM($H$5:$H22))</f>
        <v>239.39393219725059</v>
      </c>
      <c r="N22" s="122">
        <f t="shared" si="6"/>
        <v>2.3687765526395648</v>
      </c>
      <c r="P22" s="31">
        <f>IF($F$22="","",SUM('Curve-Barrows'!$M$116:$M$122))</f>
        <v>24.794624940965939</v>
      </c>
      <c r="Q22" s="31">
        <f>IF($F$22="","",SUM('Curve-Barrows'!$Q$116:$Q$122))</f>
        <v>54.662791045109365</v>
      </c>
    </row>
    <row r="23" spans="1:17" x14ac:dyDescent="0.25">
      <c r="A23" s="184"/>
      <c r="B23" s="92">
        <f t="shared" si="1"/>
        <v>7</v>
      </c>
      <c r="C23" s="92">
        <f>MAX('Curve-Barrows'!G123:G129)</f>
        <v>147</v>
      </c>
      <c r="D23" s="92">
        <f t="shared" si="0"/>
        <v>147</v>
      </c>
      <c r="E23" s="92">
        <f t="shared" si="2"/>
        <v>19</v>
      </c>
      <c r="F23" s="29">
        <f>IFERROR(IF('Кормовой бюджет'!$C$4="Imperial",VLOOKUP(D23,'Curve-Barrows'!$G$2:$R$185,12,FALSE),VLOOKUP(D23,'Curve-Barrows'!$G$2:$R$185,2,FALSE)),"")</f>
        <v>114.91959290721334</v>
      </c>
      <c r="G23" s="29">
        <f>IFERROR(IF(F24="",F23+(MAX('Кормовой бюджет'!$C$38:$J$38)-F23),F23),"")</f>
        <v>114.91959290721334</v>
      </c>
      <c r="H23" s="31">
        <f>IF(F23="","",IF('Кормовой бюджет'!$C$4="Imperial",Q23,P23))</f>
        <v>25.259528532091778</v>
      </c>
      <c r="I23" s="31">
        <f t="shared" si="3"/>
        <v>3.6085040760131113</v>
      </c>
      <c r="J23" s="122">
        <f t="shared" si="5"/>
        <v>1.1306827624569036</v>
      </c>
      <c r="K23" s="122">
        <f t="shared" si="4"/>
        <v>3.1914381255552668</v>
      </c>
      <c r="L23" s="122">
        <f t="shared" si="7"/>
        <v>0.86489720578715112</v>
      </c>
      <c r="M23" s="31">
        <f>IF(H23="","",SUM($H$5:$H23))</f>
        <v>264.65346072934238</v>
      </c>
      <c r="N23" s="122">
        <f t="shared" si="6"/>
        <v>2.428524774329802</v>
      </c>
      <c r="P23" s="31">
        <f>IF($F$23="","",SUM('Curve-Barrows'!$M$123:$M$129))</f>
        <v>25.259528532091778</v>
      </c>
      <c r="Q23" s="31">
        <f>IF($F$23="","",SUM('Curve-Barrows'!$Q$123:$Q$129))</f>
        <v>55.687728019084133</v>
      </c>
    </row>
    <row r="24" spans="1:17" x14ac:dyDescent="0.25">
      <c r="A24" s="184"/>
      <c r="B24" s="92">
        <f t="shared" si="1"/>
        <v>7</v>
      </c>
      <c r="C24" s="92">
        <f>MAX('Curve-Barrows'!G130:G136)</f>
        <v>154</v>
      </c>
      <c r="D24" s="92">
        <f t="shared" si="0"/>
        <v>154</v>
      </c>
      <c r="E24" s="92">
        <f t="shared" si="2"/>
        <v>20</v>
      </c>
      <c r="F24" s="29">
        <f>IFERROR(IF('Кормовой бюджет'!$C$4="Imperial",VLOOKUP(D24,'Curve-Barrows'!$G$2:$R$185,12,FALSE),VLOOKUP(D24,'Curve-Barrows'!$G$2:$R$185,2,FALSE)),"")</f>
        <v>122.71655480469713</v>
      </c>
      <c r="G24" s="29">
        <f>IFERROR(IF(F25="",F24+(MAX('Кормовой бюджет'!$C$38:$J$38)-F24),F24),"")</f>
        <v>122.71655480469713</v>
      </c>
      <c r="H24" s="31">
        <f>IF(F24="","",IF('Кормовой бюджет'!$C$4="Imperial",Q24,P24))</f>
        <v>25.616761374857244</v>
      </c>
      <c r="I24" s="31">
        <f t="shared" si="3"/>
        <v>3.6595373392653205</v>
      </c>
      <c r="J24" s="122">
        <f t="shared" si="5"/>
        <v>1.1138516996405403</v>
      </c>
      <c r="K24" s="122">
        <f t="shared" si="4"/>
        <v>3.2854798717336591</v>
      </c>
      <c r="L24" s="122">
        <f t="shared" si="7"/>
        <v>0.87800007388469792</v>
      </c>
      <c r="M24" s="31">
        <f>IF(H24="","",SUM($H$5:$H24))</f>
        <v>290.2702221041996</v>
      </c>
      <c r="N24" s="122">
        <f t="shared" si="6"/>
        <v>2.4857433818969339</v>
      </c>
      <c r="P24" s="31">
        <f>IF($F$24="","",SUM('Curve-Barrows'!$M$130:$M$136))</f>
        <v>25.616761374857244</v>
      </c>
      <c r="Q24" s="31">
        <f>IF($F$24="","",SUM('Curve-Barrows'!$Q$130:$Q$136))</f>
        <v>56.47529162551222</v>
      </c>
    </row>
    <row r="25" spans="1:17" x14ac:dyDescent="0.25">
      <c r="A25" s="184"/>
      <c r="B25" s="92">
        <f t="shared" si="1"/>
        <v>1</v>
      </c>
      <c r="C25" s="92">
        <f>MAX('Curve-Barrows'!G137:G143)</f>
        <v>155</v>
      </c>
      <c r="D25" s="92">
        <f t="shared" si="0"/>
        <v>155</v>
      </c>
      <c r="E25" s="92">
        <f t="shared" si="2"/>
        <v>21</v>
      </c>
      <c r="F25" s="29">
        <f>IFERROR(IF('Кормовой бюджет'!$C$4="Imperial",VLOOKUP(D25,'Curve-Barrows'!$G$2:$R$185,12,FALSE),VLOOKUP(D25,'Curve-Barrows'!$G$2:$R$185,2,FALSE)),"")</f>
        <v>123.81899243132042</v>
      </c>
      <c r="G25" s="29">
        <f>IFERROR(IF(F26="",F25+(MAX('Кормовой бюджет'!$C$38:$J$38)-F25),F25),"")</f>
        <v>123.86885355649652</v>
      </c>
      <c r="H25" s="31">
        <f>IF(F25="","",IF('Кормовой бюджет'!$C$4="Imperial",Q25,P25))</f>
        <v>3.6834843936624102</v>
      </c>
      <c r="I25" s="31">
        <f t="shared" si="3"/>
        <v>3.6834843936624102</v>
      </c>
      <c r="J25" s="122">
        <f t="shared" si="5"/>
        <v>1.1522987517993926</v>
      </c>
      <c r="K25" s="122">
        <f t="shared" si="4"/>
        <v>3.1966400969456923</v>
      </c>
      <c r="L25" s="122">
        <f t="shared" si="7"/>
        <v>0.88004707894376277</v>
      </c>
      <c r="M25" s="31">
        <f>IF(H25="","",SUM($H$5:$H25))</f>
        <v>293.95370649786202</v>
      </c>
      <c r="N25" s="122">
        <f t="shared" si="6"/>
        <v>2.3858602367587203</v>
      </c>
      <c r="P25" s="31">
        <f>IF($F$25="","",SUM('Curve-Barrows'!$M$137:$M$143))</f>
        <v>3.6834843936624102</v>
      </c>
      <c r="Q25" s="31">
        <f>IF($F$25="","",SUM('Curve-Barrows'!$Q$137:$Q$143))</f>
        <v>8.1206930214950717</v>
      </c>
    </row>
    <row r="26" spans="1:17" x14ac:dyDescent="0.25">
      <c r="A26" s="184"/>
      <c r="B26" s="92" t="str">
        <f t="shared" si="1"/>
        <v/>
      </c>
      <c r="C26" s="92">
        <f>MAX('Curve-Barrows'!G144:G150)</f>
        <v>0</v>
      </c>
      <c r="D26" s="92" t="str">
        <f t="shared" si="0"/>
        <v/>
      </c>
      <c r="E26" s="92" t="str">
        <f t="shared" si="2"/>
        <v/>
      </c>
      <c r="F26" s="29" t="str">
        <f>IFERROR(IF('Кормовой бюджет'!$C$4="Imperial",VLOOKUP(D26,'Curve-Barrows'!$G$2:$R$185,12,FALSE),VLOOKUP(D26,'Curve-Barrows'!$G$2:$R$185,2,FALSE)),"")</f>
        <v/>
      </c>
      <c r="G26" s="29" t="str">
        <f>IFERROR(IF(F27="",F26+(MAX('Кормовой бюджет'!$C$38:$J$38)-F26),F26),"")</f>
        <v/>
      </c>
      <c r="H26" s="31" t="str">
        <f>IF(F26="","",IF('Кормовой бюджет'!$C$4="Imperial",Q26,P26))</f>
        <v/>
      </c>
      <c r="I26" s="31" t="str">
        <f t="shared" si="3"/>
        <v/>
      </c>
      <c r="J26" s="122" t="str">
        <f t="shared" si="5"/>
        <v/>
      </c>
      <c r="K26" s="122" t="str">
        <f t="shared" si="4"/>
        <v/>
      </c>
      <c r="L26" s="122" t="str">
        <f t="shared" si="7"/>
        <v/>
      </c>
      <c r="M26" s="31" t="str">
        <f>IF(H26="","",SUM($H$5:$H26))</f>
        <v/>
      </c>
      <c r="N26" s="122" t="str">
        <f t="shared" si="6"/>
        <v/>
      </c>
      <c r="P26" s="31" t="str">
        <f>IF($F$26="","",SUM('Curve-Barrows'!$M$144:$M$150))</f>
        <v/>
      </c>
      <c r="Q26" s="31" t="str">
        <f>IF($F$26="","",SUM('Curve-Barrows'!$Q$144:$Q$150))</f>
        <v/>
      </c>
    </row>
    <row r="27" spans="1:17" x14ac:dyDescent="0.25">
      <c r="A27" s="184"/>
      <c r="B27" s="92" t="str">
        <f t="shared" si="1"/>
        <v/>
      </c>
      <c r="C27" s="92">
        <f>MAX('Curve-Barrows'!G151:G157)</f>
        <v>0</v>
      </c>
      <c r="D27" s="92" t="str">
        <f t="shared" si="0"/>
        <v/>
      </c>
      <c r="E27" s="92" t="str">
        <f t="shared" si="2"/>
        <v/>
      </c>
      <c r="F27" s="29" t="str">
        <f>IFERROR(IF('Кормовой бюджет'!$C$4="Imperial",VLOOKUP(D27,'Curve-Barrows'!$G$2:$R$185,12,FALSE),VLOOKUP(D27,'Curve-Barrows'!$G$2:$R$185,2,FALSE)),"")</f>
        <v/>
      </c>
      <c r="G27" s="29" t="str">
        <f>IFERROR(IF(F28="",F27+(MAX('Кормовой бюджет'!$C$38:$J$38)-F27),F27),"")</f>
        <v/>
      </c>
      <c r="H27" s="31" t="str">
        <f>IF(F27="","",IF('Кормовой бюджет'!$C$4="Imperial",Q27,P27))</f>
        <v/>
      </c>
      <c r="I27" s="31" t="str">
        <f t="shared" si="3"/>
        <v/>
      </c>
      <c r="J27" s="122" t="str">
        <f t="shared" si="5"/>
        <v/>
      </c>
      <c r="K27" s="122" t="str">
        <f t="shared" si="4"/>
        <v/>
      </c>
      <c r="L27" s="122" t="str">
        <f t="shared" si="7"/>
        <v/>
      </c>
      <c r="M27" s="31" t="str">
        <f>IF(H27="","",SUM($H$5:$H27))</f>
        <v/>
      </c>
      <c r="N27" s="122" t="str">
        <f t="shared" si="6"/>
        <v/>
      </c>
      <c r="P27" s="31" t="str">
        <f>IF($F$27="","",SUM('Curve-Barrows'!$M$151:$M$157))</f>
        <v/>
      </c>
      <c r="Q27" s="31" t="str">
        <f>IF($F$27="","",SUM('Curve-Barrows'!$Q$151:$Q$157))</f>
        <v/>
      </c>
    </row>
    <row r="28" spans="1:17" x14ac:dyDescent="0.25">
      <c r="A28" s="184"/>
      <c r="B28" s="92" t="str">
        <f t="shared" si="1"/>
        <v/>
      </c>
      <c r="C28" s="92">
        <f>MAX('Curve-Barrows'!G158:G164)</f>
        <v>0</v>
      </c>
      <c r="D28" s="92" t="str">
        <f t="shared" si="0"/>
        <v/>
      </c>
      <c r="E28" s="92" t="str">
        <f t="shared" si="2"/>
        <v/>
      </c>
      <c r="F28" s="29" t="str">
        <f>IFERROR(IF('Кормовой бюджет'!$C$4="Imperial",VLOOKUP(D28,'Curve-Barrows'!$G$2:$R$185,12,FALSE),VLOOKUP(D28,'Curve-Barrows'!$G$2:$R$185,2,FALSE)),"")</f>
        <v/>
      </c>
      <c r="G28" s="29" t="str">
        <f>IFERROR(IF(F29="",F28+(MAX('Кормовой бюджет'!$C$38:$J$38)-F28),F28),"")</f>
        <v/>
      </c>
      <c r="H28" s="31" t="str">
        <f>IF(F28="","",IF('Кормовой бюджет'!$C$4="Imperial",Q28,P28))</f>
        <v/>
      </c>
      <c r="I28" s="31" t="str">
        <f t="shared" si="3"/>
        <v/>
      </c>
      <c r="J28" s="122" t="str">
        <f t="shared" si="5"/>
        <v/>
      </c>
      <c r="K28" s="122" t="str">
        <f t="shared" si="4"/>
        <v/>
      </c>
      <c r="L28" s="122" t="str">
        <f t="shared" si="7"/>
        <v/>
      </c>
      <c r="M28" s="31" t="str">
        <f>IF(H28="","",SUM($H$5:$H28))</f>
        <v/>
      </c>
      <c r="N28" s="122" t="str">
        <f t="shared" si="6"/>
        <v/>
      </c>
      <c r="P28" s="165" t="str">
        <f>IF($F$28="","",SUM('Curve-Barrows'!$M$158:$M$164))</f>
        <v/>
      </c>
      <c r="Q28" s="165" t="str">
        <f>IF($F$28="","",SUM('Curve-Barrows'!$Q$158:$Q$164))</f>
        <v/>
      </c>
    </row>
    <row r="29" spans="1:17" x14ac:dyDescent="0.25">
      <c r="A29" s="184"/>
      <c r="B29" s="92" t="str">
        <f t="shared" si="1"/>
        <v/>
      </c>
      <c r="C29" s="92">
        <f>MAX('Curve-Barrows'!G165:G171)</f>
        <v>0</v>
      </c>
      <c r="D29" s="92" t="str">
        <f t="shared" si="0"/>
        <v/>
      </c>
      <c r="E29" s="92" t="str">
        <f t="shared" si="2"/>
        <v/>
      </c>
      <c r="F29" s="29" t="str">
        <f>IFERROR(IF('Кормовой бюджет'!$C$4="Imperial",VLOOKUP(D29,'Curve-Barrows'!$G$2:$R$185,12,FALSE),VLOOKUP(D29,'Curve-Barrows'!$G$2:$R$185,2,FALSE)),"")</f>
        <v/>
      </c>
      <c r="G29" s="29" t="str">
        <f>IFERROR(IF(F30="",F29+(MAX('Кормовой бюджет'!$C$38:$J$38)-F29),F29),"")</f>
        <v/>
      </c>
      <c r="H29" s="31" t="str">
        <f>IF(F29="","",IF('Кормовой бюджет'!$C$4="Imperial",Q29,P29))</f>
        <v/>
      </c>
      <c r="I29" s="31" t="str">
        <f t="shared" si="3"/>
        <v/>
      </c>
      <c r="J29" s="122" t="str">
        <f t="shared" si="5"/>
        <v/>
      </c>
      <c r="K29" s="122" t="str">
        <f t="shared" si="4"/>
        <v/>
      </c>
      <c r="L29" s="122" t="str">
        <f t="shared" si="7"/>
        <v/>
      </c>
      <c r="M29" s="31" t="str">
        <f>IF(H29="","",SUM($H$5:$H29))</f>
        <v/>
      </c>
      <c r="N29" s="122" t="str">
        <f t="shared" si="6"/>
        <v/>
      </c>
      <c r="P29" s="165" t="str">
        <f>IF($F$29="","",SUM('Curve-Barrows'!$M$165:$M$171))</f>
        <v/>
      </c>
      <c r="Q29" s="165" t="str">
        <f>IF($F$29="","",SUM('Curve-Barrows'!$Q$165:$Q$171))</f>
        <v/>
      </c>
    </row>
    <row r="30" spans="1:17" x14ac:dyDescent="0.25">
      <c r="A30" s="184"/>
      <c r="B30" s="92" t="str">
        <f t="shared" si="1"/>
        <v/>
      </c>
      <c r="C30" s="92">
        <f>MAX('Curve-Barrows'!G172:G178)</f>
        <v>0</v>
      </c>
      <c r="D30" s="92" t="str">
        <f t="shared" si="0"/>
        <v/>
      </c>
      <c r="E30" s="92" t="str">
        <f t="shared" si="2"/>
        <v/>
      </c>
      <c r="F30" s="29" t="str">
        <f>IFERROR(IF('Кормовой бюджет'!$C$4="Imperial",VLOOKUP(D30,'Curve-Barrows'!$G$2:$R$185,12,FALSE),VLOOKUP(D30,'Curve-Barrows'!$G$2:$R$185,2,FALSE)),"")</f>
        <v/>
      </c>
      <c r="G30" s="29" t="str">
        <f>IFERROR(IF(F31="",F30+(MAX('Кормовой бюджет'!$C$38:$J$38)-F30),F30),"")</f>
        <v/>
      </c>
      <c r="H30" s="31" t="str">
        <f>IF(F30="","",IF('Кормовой бюджет'!$C$4="Imperial",Q30,P30))</f>
        <v/>
      </c>
      <c r="I30" s="31" t="str">
        <f t="shared" si="3"/>
        <v/>
      </c>
      <c r="J30" s="122" t="str">
        <f t="shared" si="5"/>
        <v/>
      </c>
      <c r="K30" s="122" t="str">
        <f t="shared" si="4"/>
        <v/>
      </c>
      <c r="L30" s="122" t="str">
        <f t="shared" si="7"/>
        <v/>
      </c>
      <c r="M30" s="31" t="str">
        <f>IF(H30="","",SUM($H$5:$H30))</f>
        <v/>
      </c>
      <c r="N30" s="122" t="str">
        <f t="shared" si="6"/>
        <v/>
      </c>
      <c r="P30" s="165" t="str">
        <f>IF($F$30="","",SUM('Curve-Barrows'!$M$172:$M$178))</f>
        <v/>
      </c>
      <c r="Q30" s="165" t="str">
        <f>IF($F$30="","",SUM('Curve-Barrows'!$Q$172:$Q$178))</f>
        <v/>
      </c>
    </row>
    <row r="31" spans="1:17" s="172" customFormat="1" x14ac:dyDescent="0.25">
      <c r="A31" s="171"/>
      <c r="B31" s="161" t="str">
        <f t="shared" si="1"/>
        <v/>
      </c>
      <c r="C31" s="161">
        <f>MAX('Curve-Barrows'!G179:G185)</f>
        <v>0</v>
      </c>
      <c r="D31" s="161" t="str">
        <f t="shared" si="0"/>
        <v/>
      </c>
      <c r="E31" s="161" t="str">
        <f t="shared" si="2"/>
        <v/>
      </c>
      <c r="F31" s="164" t="str">
        <f>IFERROR(IF('Кормовой бюджет'!$C$4="Imperial",VLOOKUP(D31,'Curve-Barrows'!$G$2:$R$185,12,FALSE),VLOOKUP(D31,'Curve-Barrows'!$G$2:$R$185,2,FALSE)),"")</f>
        <v/>
      </c>
      <c r="G31" s="164" t="str">
        <f>IFERROR(IF(F32="",F31+(MAX('Кормовой бюджет'!$C$38:$J$38)-F31),F31),"")</f>
        <v/>
      </c>
      <c r="H31" s="165" t="str">
        <f>IF(F31="","",IF('Кормовой бюджет'!$C$4="Imperial",Q31,P31))</f>
        <v/>
      </c>
      <c r="I31" s="165" t="str">
        <f t="shared" si="3"/>
        <v/>
      </c>
      <c r="J31" s="167" t="str">
        <f t="shared" si="5"/>
        <v/>
      </c>
      <c r="K31" s="167" t="str">
        <f t="shared" si="4"/>
        <v/>
      </c>
      <c r="L31" s="167" t="str">
        <f t="shared" si="7"/>
        <v/>
      </c>
      <c r="M31" s="165" t="str">
        <f>IF(H31="","",SUM($H$5:$H31))</f>
        <v/>
      </c>
      <c r="N31" s="167" t="str">
        <f t="shared" si="6"/>
        <v/>
      </c>
      <c r="P31" s="165" t="str">
        <f>IF($F$31="","",SUM('Curve-Barrows'!$M$179:$M$185))</f>
        <v/>
      </c>
      <c r="Q31" s="165" t="str">
        <f>IF($F$31="","",SUM('Curve-Barrows'!$Q$179:$Q$185))</f>
        <v/>
      </c>
    </row>
    <row r="32" spans="1:17" s="166" customFormat="1" x14ac:dyDescent="0.25">
      <c r="A32" s="172"/>
    </row>
  </sheetData>
  <mergeCells count="13">
    <mergeCell ref="I3:I4"/>
    <mergeCell ref="C3:C4"/>
    <mergeCell ref="D2:N2"/>
    <mergeCell ref="D3:D4"/>
    <mergeCell ref="E3:E4"/>
    <mergeCell ref="F3:F4"/>
    <mergeCell ref="G3:G4"/>
    <mergeCell ref="H3:H4"/>
    <mergeCell ref="J3:J4"/>
    <mergeCell ref="K3:K4"/>
    <mergeCell ref="L3:L4"/>
    <mergeCell ref="M3:M4"/>
    <mergeCell ref="N3:N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F57FB-5449-4792-B544-C962B79C8A8D}">
  <sheetPr codeName="Worksheet____4"/>
  <dimension ref="A1:Q33"/>
  <sheetViews>
    <sheetView showGridLines="0" showRowColHeaders="0" zoomScale="80" zoomScaleNormal="80" workbookViewId="0">
      <selection activeCell="S8" sqref="S8"/>
    </sheetView>
  </sheetViews>
  <sheetFormatPr defaultRowHeight="15" x14ac:dyDescent="0.25"/>
  <cols>
    <col min="1" max="1" width="4.5703125" style="168" customWidth="1"/>
    <col min="2" max="3" width="0" hidden="1" customWidth="1"/>
    <col min="4" max="4" width="8.85546875" bestFit="1" customWidth="1"/>
    <col min="5" max="5" width="18.7109375" customWidth="1"/>
    <col min="6" max="6" width="9.5703125" hidden="1" customWidth="1"/>
    <col min="7" max="8" width="18.7109375" customWidth="1"/>
    <col min="9" max="9" width="13.28515625" customWidth="1"/>
    <col min="10" max="10" width="18.7109375" customWidth="1"/>
    <col min="11" max="11" width="21.28515625" customWidth="1"/>
    <col min="12" max="13" width="18.7109375" customWidth="1"/>
    <col min="14" max="14" width="20.5703125" customWidth="1"/>
    <col min="16" max="16" width="20.7109375" hidden="1" customWidth="1"/>
    <col min="17" max="17" width="20.28515625" hidden="1" customWidth="1"/>
  </cols>
  <sheetData>
    <row r="1" spans="1:17" ht="15.75" thickBot="1" x14ac:dyDescent="0.3">
      <c r="A1" s="172"/>
      <c r="D1" s="173"/>
      <c r="E1" s="173"/>
      <c r="F1" s="173"/>
      <c r="G1" s="173"/>
      <c r="H1" s="173"/>
      <c r="I1" s="173"/>
      <c r="J1" s="173"/>
      <c r="K1" s="173"/>
      <c r="L1" s="173"/>
      <c r="M1" s="173"/>
      <c r="N1" s="173"/>
    </row>
    <row r="2" spans="1:17" ht="16.5" thickBot="1" x14ac:dyDescent="0.3">
      <c r="A2" s="182"/>
      <c r="D2" s="233" t="s">
        <v>33</v>
      </c>
      <c r="E2" s="233"/>
      <c r="F2" s="233"/>
      <c r="G2" s="233"/>
      <c r="H2" s="233"/>
      <c r="I2" s="233"/>
      <c r="J2" s="233"/>
      <c r="K2" s="233"/>
      <c r="L2" s="233"/>
      <c r="M2" s="233"/>
      <c r="N2" s="233"/>
    </row>
    <row r="3" spans="1:17" ht="14.45" customHeight="1" x14ac:dyDescent="0.25">
      <c r="A3" s="183"/>
      <c r="C3" s="230" t="s">
        <v>72</v>
      </c>
      <c r="D3" s="231" t="s">
        <v>13</v>
      </c>
      <c r="E3" s="231" t="s">
        <v>108</v>
      </c>
      <c r="F3" s="231" t="str">
        <f>IF('Кормовой бюджет'!$C$4="Imperial","Weight, lb","Weight, kg")</f>
        <v>Weight, kg</v>
      </c>
      <c r="G3" s="231" t="str">
        <f>IF('Кормовой бюджет'!$C$4="Imperial","Weight, lb","Weight, kg")</f>
        <v>Weight, kg</v>
      </c>
      <c r="H3" s="227" t="str">
        <f>IF('Кормовой бюджет'!$C$4="Imperial","Total Feed per Week, lb","Total Feed per Week, kg")</f>
        <v>Total Feed per Week, kg</v>
      </c>
      <c r="I3" s="229" t="str">
        <f>IF('Кормовой бюджет'!$C$4="Imperial","Incremental ADFI, lb","Incremental ADFI, kg")</f>
        <v>Incremental ADFI, kg</v>
      </c>
      <c r="J3" s="227" t="str">
        <f>IF('Кормовой бюджет'!$C$4="Imperial","Incremental ADG, lb", "Incremental ADG, kg")</f>
        <v>Incremental ADG, kg</v>
      </c>
      <c r="K3" s="227" t="s">
        <v>110</v>
      </c>
      <c r="L3" s="227" t="str">
        <f>IF('Кормовой бюджет'!$C$4="Imperial","Cumulative ADG, lb","Cumulative ADG, kg")</f>
        <v>Cumulative ADG, kg</v>
      </c>
      <c r="M3" s="227" t="str">
        <f>IF('Кормовой бюджет'!$C$4="Imperial","Cumulative Feed Intake, lb","Cumulative Feed Intake, kg")</f>
        <v>Cumulative Feed Intake, kg</v>
      </c>
      <c r="N3" s="227" t="s">
        <v>109</v>
      </c>
    </row>
    <row r="4" spans="1:17" ht="15.75" thickBot="1" x14ac:dyDescent="0.3">
      <c r="A4" s="183"/>
      <c r="B4" t="s">
        <v>115</v>
      </c>
      <c r="C4" s="230"/>
      <c r="D4" s="232"/>
      <c r="E4" s="232"/>
      <c r="F4" s="232"/>
      <c r="G4" s="232"/>
      <c r="H4" s="228"/>
      <c r="I4" s="228"/>
      <c r="J4" s="228"/>
      <c r="K4" s="228"/>
      <c r="L4" s="228"/>
      <c r="M4" s="228"/>
      <c r="N4" s="228"/>
      <c r="P4" t="s">
        <v>130</v>
      </c>
      <c r="Q4" t="s">
        <v>111</v>
      </c>
    </row>
    <row r="5" spans="1:17" x14ac:dyDescent="0.25">
      <c r="C5" s="92">
        <f>'Curve-Gilts'!I3</f>
        <v>21</v>
      </c>
      <c r="D5" s="92">
        <f>IF(C5&gt;0,C5,"")</f>
        <v>21</v>
      </c>
      <c r="E5" s="92">
        <v>1</v>
      </c>
      <c r="F5" s="29">
        <f>IFERROR(IF('Кормовой бюджет'!$C$4="Imperial",VLOOKUP(D5,'Curve-Gilts'!$G$2:$R$185,12,FALSE),VLOOKUP(D5,'Curve-Gilts'!$G$2:$R$185,2,FALSE)),"")</f>
        <v>6.0580105212632942</v>
      </c>
      <c r="G5" s="29">
        <f>IFERROR(IF(F6="",F5+(MAX('Кормовой бюджет'!$C$43:$J$43)-F5),F5),"")</f>
        <v>6.0580105212632942</v>
      </c>
    </row>
    <row r="6" spans="1:17" x14ac:dyDescent="0.25">
      <c r="A6" s="184"/>
      <c r="B6" s="92">
        <f>IFERROR(IF(D6-D5&lt;0,"",D6-D5),"")</f>
        <v>7</v>
      </c>
      <c r="C6" s="92">
        <f>MAX('Curve-Gilts'!G4:G10)</f>
        <v>28</v>
      </c>
      <c r="D6" s="92">
        <f t="shared" ref="D6:D31" si="0">IF(C6&gt;0,C6,"")</f>
        <v>28</v>
      </c>
      <c r="E6" s="92">
        <f>IF(F6="","",E5+1)</f>
        <v>2</v>
      </c>
      <c r="F6" s="29">
        <f>IFERROR(IF('Кормовой бюджет'!$C$4="Imperial",VLOOKUP(D6,'Curve-Gilts'!$G$2:$R$185,12,FALSE),VLOOKUP(D6,'Curve-Gilts'!$G$2:$R$185,2,FALSE)),"")</f>
        <v>7.2126860398813593</v>
      </c>
      <c r="G6" s="29">
        <f>IFERROR(IF(F7="",F6+(MAX('Кормовой бюджет'!$C$43:$J$43)-F6),F6),"")</f>
        <v>7.2126860398813593</v>
      </c>
      <c r="H6" s="31">
        <f>IF(F6="","",IF('Кормовой бюджет'!$C$4="Imperial",Q6,P6))</f>
        <v>1.3517206873082384</v>
      </c>
      <c r="I6" s="31">
        <f>IF(F6="","",H6/B6)</f>
        <v>0.19310295532974833</v>
      </c>
      <c r="J6" s="122">
        <f>IF(G6="","",(G6-G5)/(D6-D5))</f>
        <v>0.16495364551686645</v>
      </c>
      <c r="K6" s="122">
        <f>IF(F6="","",((H6/B6)/J6))</f>
        <v>1.1706498193760964</v>
      </c>
      <c r="L6" s="122">
        <f>IF(G6="","",(G6-G5)/(D6-D5))</f>
        <v>0.16495364551686645</v>
      </c>
      <c r="M6" s="31">
        <f>IF(H6="","",SUM($H$5:$H6))</f>
        <v>1.3517206873082384</v>
      </c>
      <c r="N6" s="122">
        <f>IF(F6="","",M6/(L6*7*E5))</f>
        <v>1.1706498193760964</v>
      </c>
      <c r="P6" s="31">
        <f>IF($F$6="","",SUM('Curve-Gilts'!$M$4:$M$10))</f>
        <v>1.3517206873082384</v>
      </c>
      <c r="Q6" s="31">
        <f>IF($F$6="","",SUM('Curve-Gilts'!$Q$4:$Q$10))</f>
        <v>2.9800340056607175</v>
      </c>
    </row>
    <row r="7" spans="1:17" x14ac:dyDescent="0.25">
      <c r="A7" s="184"/>
      <c r="B7" s="92">
        <f t="shared" ref="B7:B30" si="1">IFERROR(IF(D7-D6&lt;0,"",D7-D6),"")</f>
        <v>7</v>
      </c>
      <c r="C7" s="92">
        <f>MAX('Curve-Gilts'!G11:G17)</f>
        <v>35</v>
      </c>
      <c r="D7" s="92">
        <f t="shared" si="0"/>
        <v>35</v>
      </c>
      <c r="E7" s="92">
        <f t="shared" ref="E7:E31" si="2">IF(F7="","",E6+1)</f>
        <v>3</v>
      </c>
      <c r="F7" s="29">
        <f>IFERROR(IF('Кормовой бюджет'!$C$4="Imperial",VLOOKUP(D7,'Curve-Gilts'!$G$2:$R$185,12,FALSE),VLOOKUP(D7,'Curve-Gilts'!$G$2:$R$185,2,FALSE)),"")</f>
        <v>9.467121800484005</v>
      </c>
      <c r="G7" s="29">
        <f>IFERROR(IF(F8="",F7+(MAX('Кормовой бюджет'!$C$43:$J$43)-F7),F7),"")</f>
        <v>9.467121800484005</v>
      </c>
      <c r="H7" s="31">
        <f>IF(F7="","",IF('Кормовой бюджет'!$C$4="Imperial",Q7,P7))</f>
        <v>2.8806022863491383</v>
      </c>
      <c r="I7" s="31">
        <f t="shared" ref="I7:I31" si="3">IF(F7="","",H7/B7)</f>
        <v>0.41151461233559117</v>
      </c>
      <c r="J7" s="122">
        <f>IF(G7="","",(G7-G6)/(D7-D6))</f>
        <v>0.32206225151466367</v>
      </c>
      <c r="K7" s="122">
        <f t="shared" ref="K7:K31" si="4">IF(F7="","",((H7/B7)/J7))</f>
        <v>1.2777486662911648</v>
      </c>
      <c r="L7" s="122">
        <f>IF(G7="","",(G7-$G$5)/(D7-$D$5))</f>
        <v>0.24350794851576504</v>
      </c>
      <c r="M7" s="31">
        <f>IF(H7="","",SUM($H$5:$H7))</f>
        <v>4.2323229736573769</v>
      </c>
      <c r="N7" s="122">
        <f t="shared" ref="N7:N15" si="5">IF(F7="","",M7/(L7*7*E6))</f>
        <v>1.2414739875035243</v>
      </c>
      <c r="P7" s="31">
        <f>IF($F$7="","",SUM('Curve-Gilts'!$M$11:$M$17))</f>
        <v>2.8806022863491383</v>
      </c>
      <c r="Q7" s="31">
        <f>IF($F$7="","",SUM('Curve-Gilts'!$Q$11:$Q$17))</f>
        <v>6.3506409650346152</v>
      </c>
    </row>
    <row r="8" spans="1:17" x14ac:dyDescent="0.25">
      <c r="A8" s="184"/>
      <c r="B8" s="92">
        <f t="shared" si="1"/>
        <v>7</v>
      </c>
      <c r="C8" s="92">
        <f>MAX('Curve-Gilts'!G18:G24)</f>
        <v>42</v>
      </c>
      <c r="D8" s="92">
        <f t="shared" si="0"/>
        <v>42</v>
      </c>
      <c r="E8" s="92">
        <f t="shared" si="2"/>
        <v>4</v>
      </c>
      <c r="F8" s="29">
        <f>IFERROR(IF('Кормовой бюджет'!$C$4="Imperial",VLOOKUP(D8,'Curve-Gilts'!$G$2:$R$185,12,FALSE),VLOOKUP(D8,'Curve-Gilts'!$G$2:$R$185,2,FALSE)),"")</f>
        <v>12.607475533796443</v>
      </c>
      <c r="G8" s="29">
        <f>IFERROR(IF(F9="",F8+(MAX('Кормовой бюджет'!$C$43:$J$43)-F8),F8),"")</f>
        <v>12.607475533796443</v>
      </c>
      <c r="H8" s="31">
        <f>IF(F8="","",IF('Кормовой бюджет'!$C$4="Imperial",Q8,P8))</f>
        <v>4.3911418268473472</v>
      </c>
      <c r="I8" s="31">
        <f t="shared" si="3"/>
        <v>0.62730597526390675</v>
      </c>
      <c r="J8" s="122">
        <f t="shared" ref="J8:J31" si="6">IF(G8="","",(G8-G7)/(D8-D7))</f>
        <v>0.44862196190177678</v>
      </c>
      <c r="K8" s="122">
        <f t="shared" si="4"/>
        <v>1.3982952876507901</v>
      </c>
      <c r="L8" s="122">
        <f t="shared" ref="L8:L31" si="7">IF(G8="","",(G8-$G$5)/(D8-$D$5))</f>
        <v>0.31187928631110229</v>
      </c>
      <c r="M8" s="31">
        <f>IF(H8="","",SUM($H$5:$H8))</f>
        <v>8.6234648005047241</v>
      </c>
      <c r="N8" s="122">
        <f t="shared" si="5"/>
        <v>1.316667053568916</v>
      </c>
      <c r="P8" s="31">
        <f>IF($F$8="","",SUM('Curve-Gilts'!$M$18:$M$24))</f>
        <v>4.3911418268473472</v>
      </c>
      <c r="Q8" s="31">
        <f>IF($F$8="","",SUM('Curve-Gilts'!$Q$18:$Q$24))</f>
        <v>9.6808106072140205</v>
      </c>
    </row>
    <row r="9" spans="1:17" x14ac:dyDescent="0.25">
      <c r="A9" s="184"/>
      <c r="B9" s="92">
        <f t="shared" si="1"/>
        <v>7</v>
      </c>
      <c r="C9" s="92">
        <f>MAX('Curve-Gilts'!G25:G31)</f>
        <v>49</v>
      </c>
      <c r="D9" s="92">
        <f t="shared" si="0"/>
        <v>49</v>
      </c>
      <c r="E9" s="92">
        <f t="shared" si="2"/>
        <v>5</v>
      </c>
      <c r="F9" s="29">
        <f>IFERROR(IF('Кормовой бюджет'!$C$4="Imperial",VLOOKUP(D9,'Curve-Gilts'!$G$2:$R$185,12,FALSE),VLOOKUP(D9,'Curve-Gilts'!$G$2:$R$185,2,FALSE)),"")</f>
        <v>16.395258544517571</v>
      </c>
      <c r="G9" s="29">
        <f>IFERROR(IF(F10="",F9+(MAX('Кормовой бюджет'!$C$43:$J$43)-F9),F9),"")</f>
        <v>16.395258544517571</v>
      </c>
      <c r="H9" s="31">
        <f>IF(F9="","",IF('Кормовой бюджет'!$C$4="Imperial",Q9,P9))</f>
        <v>5.6994438420887734</v>
      </c>
      <c r="I9" s="31">
        <f t="shared" si="3"/>
        <v>0.81420626315553901</v>
      </c>
      <c r="J9" s="122">
        <f t="shared" si="6"/>
        <v>0.54111185867444689</v>
      </c>
      <c r="K9" s="122">
        <f t="shared" si="4"/>
        <v>1.50469122068418</v>
      </c>
      <c r="L9" s="122">
        <f t="shared" si="7"/>
        <v>0.36918742940193844</v>
      </c>
      <c r="M9" s="31">
        <f>IF(H9="","",SUM($H$5:$H9))</f>
        <v>14.322908642593497</v>
      </c>
      <c r="N9" s="122">
        <f t="shared" si="5"/>
        <v>1.3855630251275033</v>
      </c>
      <c r="P9" s="31">
        <f>IF($F$9="","",SUM('Curve-Gilts'!$M$25:$M$31))</f>
        <v>5.6994438420887734</v>
      </c>
      <c r="Q9" s="31">
        <f>IF($F$9="","",SUM('Curve-Gilts'!$Q$25:$Q$31))</f>
        <v>12.565122826225613</v>
      </c>
    </row>
    <row r="10" spans="1:17" x14ac:dyDescent="0.25">
      <c r="A10" s="184"/>
      <c r="B10" s="92">
        <f t="shared" si="1"/>
        <v>7</v>
      </c>
      <c r="C10" s="92">
        <f>MAX('Curve-Gilts'!G32:G38)</f>
        <v>56</v>
      </c>
      <c r="D10" s="92">
        <f t="shared" si="0"/>
        <v>56</v>
      </c>
      <c r="E10" s="92">
        <f t="shared" si="2"/>
        <v>6</v>
      </c>
      <c r="F10" s="29">
        <f>IFERROR(IF('Кормовой бюджет'!$C$4="Imperial",VLOOKUP(D10,'Curve-Gilts'!$G$2:$R$185,12,FALSE),VLOOKUP(D10,'Curve-Gilts'!$G$2:$R$185,2,FALSE)),"")</f>
        <v>20.818149481927207</v>
      </c>
      <c r="G10" s="29">
        <f>IFERROR(IF(F11="",F10+(MAX('Кормовой бюджет'!$C$43:$J$43)-F10),F10),"")</f>
        <v>20.818149481927207</v>
      </c>
      <c r="H10" s="31">
        <f>IF(F10="","",IF('Кормовой бюджет'!$C$4="Imperial",Q10,P10))</f>
        <v>7.0913873029610865</v>
      </c>
      <c r="I10" s="31">
        <f t="shared" si="3"/>
        <v>1.0130553289944408</v>
      </c>
      <c r="J10" s="122">
        <f t="shared" si="6"/>
        <v>0.631841562487091</v>
      </c>
      <c r="K10" s="122">
        <f t="shared" si="4"/>
        <v>1.6033375914790955</v>
      </c>
      <c r="L10" s="122">
        <f t="shared" si="7"/>
        <v>0.42171825601896895</v>
      </c>
      <c r="M10" s="31">
        <f>IF(H10="","",SUM($H$5:$H10))</f>
        <v>21.414295945554585</v>
      </c>
      <c r="N10" s="122">
        <f t="shared" si="5"/>
        <v>1.4508193996427909</v>
      </c>
      <c r="P10" s="31">
        <f>IF($F$10="","",SUM('Curve-Gilts'!$M$32:$M$38))</f>
        <v>7.0913873029610865</v>
      </c>
      <c r="Q10" s="31">
        <f>IF($F$10="","",SUM('Curve-Gilts'!$Q$32:$Q$38))</f>
        <v>15.633832868399189</v>
      </c>
    </row>
    <row r="11" spans="1:17" x14ac:dyDescent="0.25">
      <c r="A11" s="184"/>
      <c r="B11" s="92">
        <f t="shared" si="1"/>
        <v>7</v>
      </c>
      <c r="C11" s="92">
        <f>MAX('Curve-Gilts'!G39:G45)</f>
        <v>63</v>
      </c>
      <c r="D11" s="92">
        <f t="shared" si="0"/>
        <v>63</v>
      </c>
      <c r="E11" s="92">
        <f t="shared" si="2"/>
        <v>7</v>
      </c>
      <c r="F11" s="29">
        <f>IFERROR(IF('Кормовой бюджет'!$C$4="Imperial",VLOOKUP(D11,'Curve-Gilts'!$G$2:$R$185,12,FALSE),VLOOKUP(D11,'Curve-Gilts'!$G$2:$R$185,2,FALSE)),"")</f>
        <v>25.896018768467133</v>
      </c>
      <c r="G11" s="29">
        <f>IFERROR(IF(F12="",F11+(MAX('Кормовой бюджет'!$C$43:$J$43)-F11),F11),"")</f>
        <v>25.896018768467133</v>
      </c>
      <c r="H11" s="31">
        <f>IF(F11="","",IF('Кормовой бюджет'!$C$4="Imperial",Q11,P11))</f>
        <v>8.6719973427126398</v>
      </c>
      <c r="I11" s="31">
        <f t="shared" si="3"/>
        <v>1.2388567632446628</v>
      </c>
      <c r="J11" s="122">
        <f t="shared" si="6"/>
        <v>0.7254098980771323</v>
      </c>
      <c r="K11" s="122">
        <f t="shared" si="4"/>
        <v>1.7078023976906584</v>
      </c>
      <c r="L11" s="122">
        <f t="shared" si="7"/>
        <v>0.47233352969532949</v>
      </c>
      <c r="M11" s="31">
        <f>IF(H11="","",SUM($H$5:$H11))</f>
        <v>30.086293288267225</v>
      </c>
      <c r="N11" s="122">
        <f t="shared" si="5"/>
        <v>1.5165984867713662</v>
      </c>
      <c r="P11" s="31">
        <f>IF($F$11="","",SUM('Curve-Gilts'!$M$39:$M$45))</f>
        <v>8.6719973427126398</v>
      </c>
      <c r="Q11" s="31">
        <f>IF($F$11="","",SUM('Curve-Gilts'!$Q$39:$Q$45))</f>
        <v>19.118481518356756</v>
      </c>
    </row>
    <row r="12" spans="1:17" x14ac:dyDescent="0.25">
      <c r="A12" s="184"/>
      <c r="B12" s="92">
        <f t="shared" si="1"/>
        <v>7</v>
      </c>
      <c r="C12" s="92">
        <f>MAX('Curve-Gilts'!G46:G52)</f>
        <v>70</v>
      </c>
      <c r="D12" s="92">
        <f t="shared" si="0"/>
        <v>70</v>
      </c>
      <c r="E12" s="92">
        <f t="shared" si="2"/>
        <v>8</v>
      </c>
      <c r="F12" s="29">
        <f>IFERROR(IF('Кормовой бюджет'!$C$4="Imperial",VLOOKUP(D12,'Curve-Gilts'!$G$2:$R$185,12,FALSE),VLOOKUP(D12,'Curve-Gilts'!$G$2:$R$185,2,FALSE)),"")</f>
        <v>31.40858982972696</v>
      </c>
      <c r="G12" s="29">
        <f>IFERROR(IF(F13="",F12+(MAX('Кормовой бюджет'!$C$43:$J$43)-F12),F12),"")</f>
        <v>31.40858982972696</v>
      </c>
      <c r="H12" s="31">
        <f>IF(F12="","",IF('Кормовой бюджет'!$C$4="Imperial",Q12,P12))</f>
        <v>10.266577314382936</v>
      </c>
      <c r="I12" s="31">
        <f t="shared" si="3"/>
        <v>1.4666539020547051</v>
      </c>
      <c r="J12" s="122">
        <f t="shared" si="6"/>
        <v>0.78751015160854665</v>
      </c>
      <c r="K12" s="122">
        <f t="shared" si="4"/>
        <v>1.8623936454139138</v>
      </c>
      <c r="L12" s="122">
        <f t="shared" si="7"/>
        <v>0.5173587613972177</v>
      </c>
      <c r="M12" s="31">
        <f>IF(H12="","",SUM($H$5:$H12))</f>
        <v>40.352870602650157</v>
      </c>
      <c r="N12" s="122">
        <f t="shared" si="5"/>
        <v>1.591792838800246</v>
      </c>
      <c r="P12" s="31">
        <f>IF($F$12="","",SUM('Curve-Gilts'!$M$46:$M$52))</f>
        <v>10.266577314382936</v>
      </c>
      <c r="Q12" s="31">
        <f>IF($F$12="","",SUM('Curve-Gilts'!$Q$46:$Q$52))</f>
        <v>22.633928596248065</v>
      </c>
    </row>
    <row r="13" spans="1:17" x14ac:dyDescent="0.25">
      <c r="A13" s="184"/>
      <c r="B13" s="92">
        <f t="shared" si="1"/>
        <v>7</v>
      </c>
      <c r="C13" s="92">
        <f>MAX('Curve-Gilts'!G53:G59)</f>
        <v>77</v>
      </c>
      <c r="D13" s="92">
        <f t="shared" si="0"/>
        <v>77</v>
      </c>
      <c r="E13" s="92">
        <f t="shared" si="2"/>
        <v>9</v>
      </c>
      <c r="F13" s="29">
        <f>IFERROR(IF('Кормовой бюджет'!$C$4="Imperial",VLOOKUP(D13,'Curve-Gilts'!$G$2:$R$185,12,FALSE),VLOOKUP(D13,'Curve-Gilts'!$G$2:$R$185,2,FALSE)),"")</f>
        <v>37.327633610069732</v>
      </c>
      <c r="G13" s="29">
        <f>IFERROR(IF(F14="",F13+(MAX('Кормовой бюджет'!$C$43:$J$43)-F13),F13),"")</f>
        <v>37.327633610069732</v>
      </c>
      <c r="H13" s="31">
        <f>IF(F13="","",IF('Кормовой бюджет'!$C$4="Imperial",Q13,P13))</f>
        <v>11.912917051001473</v>
      </c>
      <c r="I13" s="31">
        <f t="shared" si="3"/>
        <v>1.7018452930002106</v>
      </c>
      <c r="J13" s="122">
        <f t="shared" si="6"/>
        <v>0.84557768290611024</v>
      </c>
      <c r="K13" s="122">
        <f t="shared" si="4"/>
        <v>2.0126421586142751</v>
      </c>
      <c r="L13" s="122">
        <f t="shared" si="7"/>
        <v>0.5583861265858292</v>
      </c>
      <c r="M13" s="31">
        <f>IF(H13="","",SUM($H$5:$H13))</f>
        <v>52.265787653651628</v>
      </c>
      <c r="N13" s="122">
        <f t="shared" si="5"/>
        <v>1.6714556330025345</v>
      </c>
      <c r="P13" s="31">
        <f>IF($F$13="","",SUM('Curve-Gilts'!$M$53:$M$59))</f>
        <v>11.912917051001473</v>
      </c>
      <c r="Q13" s="31">
        <f>IF($F$13="","",SUM('Curve-Gilts'!$Q$53:$Q$59))</f>
        <v>26.263486422845855</v>
      </c>
    </row>
    <row r="14" spans="1:17" x14ac:dyDescent="0.25">
      <c r="A14" s="184"/>
      <c r="B14" s="92">
        <f t="shared" si="1"/>
        <v>7</v>
      </c>
      <c r="C14" s="92">
        <f>MAX('Curve-Gilts'!G60:G66)</f>
        <v>84</v>
      </c>
      <c r="D14" s="92">
        <f t="shared" si="0"/>
        <v>84</v>
      </c>
      <c r="E14" s="92">
        <f t="shared" si="2"/>
        <v>10</v>
      </c>
      <c r="F14" s="29">
        <f>IFERROR(IF('Кормовой бюджет'!$C$4="Imperial",VLOOKUP(D14,'Curve-Gilts'!$G$2:$R$185,12,FALSE),VLOOKUP(D14,'Curve-Gilts'!$G$2:$R$185,2,FALSE)),"")</f>
        <v>43.600783740246122</v>
      </c>
      <c r="G14" s="29">
        <f>IFERROR(IF(F15="",F14+(MAX('Кормовой бюджет'!$C$43:$J$43)-F14),F14),"")</f>
        <v>43.600783740246122</v>
      </c>
      <c r="H14" s="31">
        <f>IF(F14="","",IF('Кормовой бюджет'!$C$4="Imperial",Q14,P14))</f>
        <v>13.508639111061317</v>
      </c>
      <c r="I14" s="31">
        <f t="shared" si="3"/>
        <v>1.9298055872944739</v>
      </c>
      <c r="J14" s="122">
        <f t="shared" si="6"/>
        <v>0.89616430431091287</v>
      </c>
      <c r="K14" s="122">
        <f t="shared" si="4"/>
        <v>2.1534059971049153</v>
      </c>
      <c r="L14" s="122">
        <f t="shared" si="7"/>
        <v>0.59591703522194972</v>
      </c>
      <c r="M14" s="31">
        <f>IF(H14="","",SUM($H$5:$H14))</f>
        <v>65.774426764712942</v>
      </c>
      <c r="N14" s="122">
        <f t="shared" si="5"/>
        <v>1.7519863644877274</v>
      </c>
      <c r="P14" s="31">
        <f>IF($F$14="","",SUM('Curve-Gilts'!$M$60:$M$66))</f>
        <v>13.508639111061317</v>
      </c>
      <c r="Q14" s="31">
        <f>IF($F$14="","",SUM('Curve-Gilts'!$Q$60:$Q$66))</f>
        <v>29.781451374636909</v>
      </c>
    </row>
    <row r="15" spans="1:17" x14ac:dyDescent="0.25">
      <c r="A15" s="184"/>
      <c r="B15" s="92">
        <f t="shared" si="1"/>
        <v>7</v>
      </c>
      <c r="C15" s="92">
        <f>MAX('Curve-Gilts'!G67:G73)</f>
        <v>91</v>
      </c>
      <c r="D15" s="92">
        <f t="shared" si="0"/>
        <v>91</v>
      </c>
      <c r="E15" s="92">
        <f t="shared" si="2"/>
        <v>11</v>
      </c>
      <c r="F15" s="29">
        <f>IFERROR(IF('Кормовой бюджет'!$C$4="Imperial",VLOOKUP(D15,'Curve-Gilts'!$G$2:$R$185,12,FALSE),VLOOKUP(D15,'Curve-Gilts'!$G$2:$R$185,2,FALSE)),"")</f>
        <v>50.17501983110769</v>
      </c>
      <c r="G15" s="29">
        <f>IFERROR(IF(F16="",F15+(MAX('Кормовой бюджет'!$C$43:$J$43)-F15),F15),"")</f>
        <v>50.17501983110769</v>
      </c>
      <c r="H15" s="31">
        <f>IF(F15="","",IF('Кормовой бюджет'!$C$4="Imperial",Q15,P15))</f>
        <v>14.895712947602872</v>
      </c>
      <c r="I15" s="31">
        <f t="shared" si="3"/>
        <v>2.1279589925146962</v>
      </c>
      <c r="J15" s="122">
        <f t="shared" si="6"/>
        <v>0.93917658440879548</v>
      </c>
      <c r="K15" s="122">
        <f t="shared" si="4"/>
        <v>2.2657709187396642</v>
      </c>
      <c r="L15" s="122">
        <f t="shared" si="7"/>
        <v>0.63024299014063423</v>
      </c>
      <c r="M15" s="31">
        <f>IF(H15="","",SUM($H$5:$H15))</f>
        <v>80.670139712315816</v>
      </c>
      <c r="N15" s="122">
        <f t="shared" si="5"/>
        <v>1.8285495996736765</v>
      </c>
      <c r="P15" s="31">
        <f>IF($F$15="","",SUM('Curve-Gilts'!$M$67:$M$73))</f>
        <v>14.895712947602872</v>
      </c>
      <c r="Q15" s="31">
        <f>IF($F$15="","",SUM('Curve-Gilts'!$Q$67:$Q$73))</f>
        <v>32.839425732851005</v>
      </c>
    </row>
    <row r="16" spans="1:17" x14ac:dyDescent="0.25">
      <c r="A16" s="184"/>
      <c r="B16" s="92">
        <f t="shared" si="1"/>
        <v>7</v>
      </c>
      <c r="C16" s="92">
        <f>MAX('Curve-Gilts'!G74:G80)</f>
        <v>98</v>
      </c>
      <c r="D16" s="92">
        <f t="shared" si="0"/>
        <v>98</v>
      </c>
      <c r="E16" s="92">
        <f t="shared" si="2"/>
        <v>12</v>
      </c>
      <c r="F16" s="29">
        <f>IFERROR(IF('Кормовой бюджет'!$C$4="Imperial",VLOOKUP(D16,'Curve-Gilts'!$G$2:$R$185,12,FALSE),VLOOKUP(D16,'Curve-Gilts'!$G$2:$R$185,2,FALSE)),"")</f>
        <v>56.997751983334716</v>
      </c>
      <c r="G16" s="29">
        <f>IFERROR(IF(F17="",F16+(MAX('Кормовой бюджет'!$C$43:$J$43)-F16),F16),"")</f>
        <v>56.997751983334716</v>
      </c>
      <c r="H16" s="31">
        <f>IF(F16="","",IF('Кормовой бюджет'!$C$4="Imperial",Q16,P16))</f>
        <v>16.054469390126123</v>
      </c>
      <c r="I16" s="31">
        <f t="shared" si="3"/>
        <v>2.2934956271608749</v>
      </c>
      <c r="J16" s="122">
        <f t="shared" si="6"/>
        <v>0.97467602174671797</v>
      </c>
      <c r="K16" s="122">
        <f t="shared" si="4"/>
        <v>2.3530851031409377</v>
      </c>
      <c r="L16" s="122">
        <f t="shared" si="7"/>
        <v>0.66155508392300555</v>
      </c>
      <c r="M16" s="31">
        <f>IF(H16="","",SUM($H$5:$H16))</f>
        <v>96.724609102441946</v>
      </c>
      <c r="N16" s="122">
        <f t="shared" ref="N16:N31" si="8">IF(F16="","",M16/(L16*7*E15))</f>
        <v>1.898804476156615</v>
      </c>
      <c r="P16" s="31">
        <f>IF($F$16="","",SUM('Curve-Gilts'!$M$74:$M$80))</f>
        <v>16.054469390126123</v>
      </c>
      <c r="Q16" s="31">
        <f>IF($F$16="","",SUM('Curve-Gilts'!$Q$74:$Q$80))</f>
        <v>35.394046399250769</v>
      </c>
    </row>
    <row r="17" spans="1:17" x14ac:dyDescent="0.25">
      <c r="A17" s="184"/>
      <c r="B17" s="92">
        <f t="shared" si="1"/>
        <v>7</v>
      </c>
      <c r="C17" s="92">
        <f>MAX('Curve-Gilts'!G81:G87)</f>
        <v>105</v>
      </c>
      <c r="D17" s="92">
        <f t="shared" si="0"/>
        <v>105</v>
      </c>
      <c r="E17" s="92">
        <f t="shared" si="2"/>
        <v>13</v>
      </c>
      <c r="F17" s="29">
        <f>IFERROR(IF('Кормовой бюджет'!$C$4="Imperial",VLOOKUP(D17,'Curve-Gilts'!$G$2:$R$185,12,FALSE),VLOOKUP(D17,'Curve-Gilts'!$G$2:$R$185,2,FALSE)),"")</f>
        <v>64.017762963857209</v>
      </c>
      <c r="G17" s="29">
        <f>IFERROR(IF(F18="",F17+(MAX('Кормовой бюджет'!$C$43:$J$43)-F17),F17),"")</f>
        <v>64.017762963857209</v>
      </c>
      <c r="H17" s="31">
        <f>IF(F17="","",IF('Кормовой бюджет'!$C$4="Imperial",Q17,P17))</f>
        <v>17.123147395598625</v>
      </c>
      <c r="I17" s="31">
        <f t="shared" si="3"/>
        <v>2.4461639136569464</v>
      </c>
      <c r="J17" s="122">
        <f t="shared" si="6"/>
        <v>1.0028587115032133</v>
      </c>
      <c r="K17" s="122">
        <f t="shared" si="4"/>
        <v>2.4391909703714116</v>
      </c>
      <c r="L17" s="122">
        <f t="shared" si="7"/>
        <v>0.68999705288802282</v>
      </c>
      <c r="M17" s="31">
        <f>IF(H17="","",SUM($H$5:$H17))</f>
        <v>113.84775649804057</v>
      </c>
      <c r="N17" s="122">
        <f t="shared" si="8"/>
        <v>1.9642553962044744</v>
      </c>
      <c r="P17" s="31">
        <f>IF($F$17="","",SUM('Curve-Gilts'!$M$81:$M$87))</f>
        <v>17.123147395598625</v>
      </c>
      <c r="Q17" s="31">
        <f>IF($F$17="","",SUM('Curve-Gilts'!$Q$81:$Q$87))</f>
        <v>37.750078105587676</v>
      </c>
    </row>
    <row r="18" spans="1:17" x14ac:dyDescent="0.25">
      <c r="A18" s="184"/>
      <c r="B18" s="92">
        <f t="shared" si="1"/>
        <v>7</v>
      </c>
      <c r="C18" s="92">
        <f>MAX('Curve-Gilts'!G88:G94)</f>
        <v>112</v>
      </c>
      <c r="D18" s="92">
        <f t="shared" si="0"/>
        <v>112</v>
      </c>
      <c r="E18" s="92">
        <f t="shared" si="2"/>
        <v>14</v>
      </c>
      <c r="F18" s="29">
        <f>IFERROR(IF('Кормовой бюджет'!$C$4="Imperial",VLOOKUP(D18,'Curve-Gilts'!$G$2:$R$185,12,FALSE),VLOOKUP(D18,'Curve-Gilts'!$G$2:$R$185,2,FALSE)),"")</f>
        <v>71.185995201558171</v>
      </c>
      <c r="G18" s="29">
        <f>IFERROR(IF(F19="",F18+(MAX('Кормовой бюджет'!$C$43:$J$43)-F18),F18),"")</f>
        <v>71.185995201558171</v>
      </c>
      <c r="H18" s="31">
        <f>IF(F18="","",IF('Кормовой бюджет'!$C$4="Imperial",Q18,P18))</f>
        <v>18.10063353224572</v>
      </c>
      <c r="I18" s="31">
        <f t="shared" si="3"/>
        <v>2.5858047903208172</v>
      </c>
      <c r="J18" s="122">
        <f t="shared" si="6"/>
        <v>1.0240331768144233</v>
      </c>
      <c r="K18" s="122">
        <f t="shared" si="4"/>
        <v>2.5251181786558661</v>
      </c>
      <c r="L18" s="122">
        <f t="shared" si="7"/>
        <v>0.71569213934389975</v>
      </c>
      <c r="M18" s="31">
        <f>IF(H18="","",SUM($H$5:$H18))</f>
        <v>131.94839003028628</v>
      </c>
      <c r="N18" s="122">
        <f t="shared" si="8"/>
        <v>2.0259860746191429</v>
      </c>
      <c r="P18" s="31">
        <f>IF($F$18="","",SUM('Curve-Gilts'!$M$88:$M$94))</f>
        <v>18.10063353224572</v>
      </c>
      <c r="Q18" s="31">
        <f>IF($F$18="","",SUM('Curve-Gilts'!$Q$88:$Q$94))</f>
        <v>39.905066154983423</v>
      </c>
    </row>
    <row r="19" spans="1:17" x14ac:dyDescent="0.25">
      <c r="A19" s="184"/>
      <c r="B19" s="92">
        <f t="shared" si="1"/>
        <v>7</v>
      </c>
      <c r="C19" s="92">
        <f>MAX('Curve-Gilts'!G95:G101)</f>
        <v>119</v>
      </c>
      <c r="D19" s="92">
        <f t="shared" si="0"/>
        <v>119</v>
      </c>
      <c r="E19" s="92">
        <f t="shared" si="2"/>
        <v>15</v>
      </c>
      <c r="F19" s="29">
        <f>IFERROR(IF('Кормовой бюджет'!$C$4="Imperial",VLOOKUP(D19,'Curve-Gilts'!$G$2:$R$185,12,FALSE),VLOOKUP(D19,'Curve-Gilts'!$G$2:$R$185,2,FALSE)),"")</f>
        <v>78.45617812583842</v>
      </c>
      <c r="G19" s="29">
        <f>IFERROR(IF(F20="",F19+(MAX('Кормовой бюджет'!$C$43:$J$43)-F19),F19),"")</f>
        <v>78.45617812583842</v>
      </c>
      <c r="H19" s="31">
        <f>IF(F19="","",IF('Кормовой бюджет'!$C$4="Imperial",Q19,P19))</f>
        <v>18.988583125748818</v>
      </c>
      <c r="I19" s="31">
        <f>IF(F19="","",H19/B19)</f>
        <v>2.7126547322498311</v>
      </c>
      <c r="J19" s="122">
        <f t="shared" si="6"/>
        <v>1.0385975606114641</v>
      </c>
      <c r="K19" s="122">
        <f t="shared" si="4"/>
        <v>2.6118439279337244</v>
      </c>
      <c r="L19" s="122">
        <f t="shared" si="7"/>
        <v>0.73875681229158285</v>
      </c>
      <c r="M19" s="31">
        <f>IF(H19="","",SUM($H$5:$H19))</f>
        <v>150.93697315603509</v>
      </c>
      <c r="N19" s="122">
        <f t="shared" si="8"/>
        <v>2.0848175879315596</v>
      </c>
      <c r="P19" s="31">
        <f>IF($F$19="","",SUM('Curve-Gilts'!$M$95:$M$101))</f>
        <v>18.988583125748818</v>
      </c>
      <c r="Q19" s="31">
        <f>IF($F$19="","",SUM('Curve-Gilts'!$Q$95:$Q$101))</f>
        <v>41.862659915881778</v>
      </c>
    </row>
    <row r="20" spans="1:17" x14ac:dyDescent="0.25">
      <c r="A20" s="184"/>
      <c r="B20" s="92">
        <f t="shared" si="1"/>
        <v>7</v>
      </c>
      <c r="C20" s="92">
        <f>MAX('Curve-Gilts'!G102:G108)</f>
        <v>126</v>
      </c>
      <c r="D20" s="92">
        <f t="shared" si="0"/>
        <v>126</v>
      </c>
      <c r="E20" s="92">
        <f t="shared" si="2"/>
        <v>16</v>
      </c>
      <c r="F20" s="29">
        <f>IFERROR(IF('Кормовой бюджет'!$C$4="Imperial",VLOOKUP(D20,'Curve-Gilts'!$G$2:$R$185,12,FALSE),VLOOKUP(D20,'Curve-Gilts'!$G$2:$R$185,2,FALSE)),"")</f>
        <v>85.785298916355799</v>
      </c>
      <c r="G20" s="29">
        <f>IFERROR(IF(F21="",F20+(MAX('Кормовой бюджет'!$C$43:$J$43)-F20),F20),"")</f>
        <v>85.785298916355799</v>
      </c>
      <c r="H20" s="31">
        <f>IF(F20="","",IF('Кормовой бюджет'!$C$4="Imperial",Q20,P20))</f>
        <v>19.790655728187573</v>
      </c>
      <c r="I20" s="31">
        <f t="shared" si="3"/>
        <v>2.8272365325982247</v>
      </c>
      <c r="J20" s="122">
        <f t="shared" si="6"/>
        <v>1.0470172557881969</v>
      </c>
      <c r="K20" s="122">
        <f t="shared" si="4"/>
        <v>2.7002769218639808</v>
      </c>
      <c r="L20" s="122">
        <f t="shared" si="7"/>
        <v>0.75930750852469053</v>
      </c>
      <c r="M20" s="31">
        <f>IF(H20="","",SUM($H$5:$H20))</f>
        <v>170.72762888422267</v>
      </c>
      <c r="N20" s="122">
        <f t="shared" si="8"/>
        <v>2.141395152412227</v>
      </c>
      <c r="P20" s="31">
        <f>IF($F$20="","",SUM('Curve-Gilts'!$M$102:$M$108))</f>
        <v>19.790655728187573</v>
      </c>
      <c r="Q20" s="31">
        <f>IF($F$20="","",SUM('Curve-Gilts'!$Q$102:$Q$108))</f>
        <v>43.630927319583378</v>
      </c>
    </row>
    <row r="21" spans="1:17" x14ac:dyDescent="0.25">
      <c r="A21" s="184"/>
      <c r="B21" s="92">
        <f t="shared" si="1"/>
        <v>7</v>
      </c>
      <c r="C21" s="92">
        <f>MAX('Curve-Gilts'!G109:G115)</f>
        <v>133</v>
      </c>
      <c r="D21" s="92">
        <f t="shared" si="0"/>
        <v>133</v>
      </c>
      <c r="E21" s="92">
        <f t="shared" si="2"/>
        <v>17</v>
      </c>
      <c r="F21" s="29">
        <f>IFERROR(IF('Кормовой бюджет'!$C$4="Imperial",VLOOKUP(D21,'Curve-Gilts'!$G$2:$R$185,12,FALSE),VLOOKUP(D21,'Curve-Gilts'!$G$2:$R$185,2,FALSE)),"")</f>
        <v>93.133925917123079</v>
      </c>
      <c r="G21" s="29">
        <f>IFERROR(IF(F22="",F21+(MAX('Кормовой бюджет'!$C$43:$J$43)-F21),F21),"")</f>
        <v>93.133925917123079</v>
      </c>
      <c r="H21" s="31">
        <f>IF(F21="","",IF('Кормовой бюджет'!$C$4="Imperial",Q21,P21))</f>
        <v>20.511860678571328</v>
      </c>
      <c r="I21" s="31">
        <f t="shared" si="3"/>
        <v>2.9302658112244755</v>
      </c>
      <c r="J21" s="122">
        <f t="shared" si="6"/>
        <v>1.0498038572524686</v>
      </c>
      <c r="K21" s="122">
        <f t="shared" si="4"/>
        <v>2.7912507569685681</v>
      </c>
      <c r="L21" s="122">
        <f t="shared" si="7"/>
        <v>0.77746353032017657</v>
      </c>
      <c r="M21" s="31">
        <f>IF(H21="","",SUM($H$5:$H21))</f>
        <v>191.23948956279401</v>
      </c>
      <c r="N21" s="122">
        <f t="shared" si="8"/>
        <v>2.1962386349128971</v>
      </c>
      <c r="P21" s="31">
        <f>IF($F$21="","",SUM('Curve-Gilts'!$M$109:$M$115))</f>
        <v>20.511860678571328</v>
      </c>
      <c r="Q21" s="31">
        <f>IF($F$21="","",SUM('Curve-Gilts'!$Q$109:$Q$115))</f>
        <v>45.220912068188738</v>
      </c>
    </row>
    <row r="22" spans="1:17" x14ac:dyDescent="0.25">
      <c r="A22" s="184"/>
      <c r="B22" s="92">
        <f t="shared" si="1"/>
        <v>7</v>
      </c>
      <c r="C22" s="92">
        <f>MAX('Curve-Gilts'!G116:G122)</f>
        <v>140</v>
      </c>
      <c r="D22" s="92">
        <f t="shared" si="0"/>
        <v>140</v>
      </c>
      <c r="E22" s="92">
        <f t="shared" si="2"/>
        <v>18</v>
      </c>
      <c r="F22" s="29">
        <f>IFERROR(IF('Кормовой бюджет'!$C$4="Imperial",VLOOKUP(D22,'Curve-Gilts'!$G$2:$R$185,12,FALSE),VLOOKUP(D22,'Curve-Gilts'!$G$2:$R$185,2,FALSE)),"")</f>
        <v>100.46639855666318</v>
      </c>
      <c r="G22" s="29">
        <f>IFERROR(IF(F23="",F22+(MAX('Кормовой бюджет'!$C$43:$J$43)-F22),F22),"")</f>
        <v>100.46639855666318</v>
      </c>
      <c r="H22" s="31">
        <f>IF(F22="","",IF('Кормовой бюджет'!$C$4="Imperial",Q22,P22))</f>
        <v>21.158021738482873</v>
      </c>
      <c r="I22" s="31">
        <f t="shared" si="3"/>
        <v>3.022574534068982</v>
      </c>
      <c r="J22" s="122">
        <f t="shared" si="6"/>
        <v>1.0474960913628715</v>
      </c>
      <c r="K22" s="122">
        <f t="shared" si="4"/>
        <v>2.8855234487189203</v>
      </c>
      <c r="L22" s="122">
        <f t="shared" si="7"/>
        <v>0.79334779861680571</v>
      </c>
      <c r="M22" s="31">
        <f>IF(H22="","",SUM($H$5:$H22))</f>
        <v>212.39751130127689</v>
      </c>
      <c r="N22" s="122">
        <f t="shared" si="8"/>
        <v>2.2497737300803733</v>
      </c>
      <c r="P22" s="31">
        <f>IF($F$22="","",SUM('Curve-Gilts'!$M$116:$M$122))</f>
        <v>21.158021738482873</v>
      </c>
      <c r="Q22" s="31">
        <f>IF($F$22="","",SUM('Curve-Gilts'!$Q$116:$Q$122))</f>
        <v>46.645453358227506</v>
      </c>
    </row>
    <row r="23" spans="1:17" x14ac:dyDescent="0.25">
      <c r="A23" s="184"/>
      <c r="B23" s="92">
        <f t="shared" si="1"/>
        <v>7</v>
      </c>
      <c r="C23" s="92">
        <f>MAX('Curve-Gilts'!G123:G129)</f>
        <v>147</v>
      </c>
      <c r="D23" s="92">
        <f t="shared" si="0"/>
        <v>147</v>
      </c>
      <c r="E23" s="92">
        <f t="shared" si="2"/>
        <v>19</v>
      </c>
      <c r="F23" s="29">
        <f>IFERROR(IF('Кормовой бюджет'!$C$4="Imperial",VLOOKUP(D23,'Curve-Gilts'!$G$2:$R$185,12,FALSE),VLOOKUP(D23,'Curve-Gilts'!$G$2:$R$185,2,FALSE)),"")</f>
        <v>107.75090059272532</v>
      </c>
      <c r="G23" s="29">
        <f>IFERROR(IF(F24="",F23+(MAX('Кормовой бюджет'!$C$43:$J$43)-F23),F23),"")</f>
        <v>107.75090059272532</v>
      </c>
      <c r="H23" s="31">
        <f>IF(F23="","",IF('Кормовой бюджет'!$C$4="Imperial",Q23,P23))</f>
        <v>21.735357467262201</v>
      </c>
      <c r="I23" s="31">
        <f t="shared" si="3"/>
        <v>3.1050510667517428</v>
      </c>
      <c r="J23" s="122">
        <f t="shared" si="6"/>
        <v>1.0406431480088767</v>
      </c>
      <c r="K23" s="122">
        <f t="shared" si="4"/>
        <v>2.9837808212092862</v>
      </c>
      <c r="L23" s="122">
        <f t="shared" si="7"/>
        <v>0.80708642913858741</v>
      </c>
      <c r="M23" s="31">
        <f>IF(H23="","",SUM($H$5:$H23))</f>
        <v>234.13286876853908</v>
      </c>
      <c r="N23" s="122">
        <f t="shared" si="8"/>
        <v>2.3023523926206479</v>
      </c>
      <c r="P23" s="31">
        <f>IF($F$23="","",SUM('Curve-Gilts'!$M$123:$M$129))</f>
        <v>21.735357467262201</v>
      </c>
      <c r="Q23" s="31">
        <f>IF($F$23="","",SUM('Curve-Gilts'!$Q$123:$Q$129))</f>
        <v>47.918260766295965</v>
      </c>
    </row>
    <row r="24" spans="1:17" x14ac:dyDescent="0.25">
      <c r="A24" s="184"/>
      <c r="B24" s="92">
        <f t="shared" si="1"/>
        <v>7</v>
      </c>
      <c r="C24" s="92">
        <f>MAX('Curve-Gilts'!G130:G136)</f>
        <v>154</v>
      </c>
      <c r="D24" s="92">
        <f t="shared" si="0"/>
        <v>154</v>
      </c>
      <c r="E24" s="92">
        <f t="shared" si="2"/>
        <v>20</v>
      </c>
      <c r="F24" s="29">
        <f>IFERROR(IF('Кормовой бюджет'!$C$4="Imperial",VLOOKUP(D24,'Curve-Gilts'!$G$2:$R$185,12,FALSE),VLOOKUP(D24,'Curve-Gilts'!$G$2:$R$185,2,FALSE)),"")</f>
        <v>114.95943500276545</v>
      </c>
      <c r="G24" s="29">
        <f>IFERROR(IF(F25="",F24+(MAX('Кормовой бюджет'!$C$43:$J$43)-F24),F24),"")</f>
        <v>114.95943500276545</v>
      </c>
      <c r="H24" s="31">
        <f>IF(F24="","",IF('Кормовой бюджет'!$C$4="Imperial",Q24,P24))</f>
        <v>22.250166276543101</v>
      </c>
      <c r="I24" s="31">
        <f t="shared" si="3"/>
        <v>3.1785951823633001</v>
      </c>
      <c r="J24" s="122">
        <f t="shared" si="6"/>
        <v>1.0297906300057329</v>
      </c>
      <c r="K24" s="122">
        <f t="shared" si="4"/>
        <v>3.0866421675885753</v>
      </c>
      <c r="L24" s="122">
        <f t="shared" si="7"/>
        <v>0.81880770286843718</v>
      </c>
      <c r="M24" s="31">
        <f>IF(H24="","",SUM($H$5:$H24))</f>
        <v>256.38303504508218</v>
      </c>
      <c r="N24" s="122">
        <f t="shared" si="8"/>
        <v>2.3542670471553939</v>
      </c>
      <c r="P24" s="31">
        <f>IF($F$24="","",SUM('Curve-Gilts'!$M$130:$M$136))</f>
        <v>22.250166276543101</v>
      </c>
      <c r="Q24" s="31">
        <f>IF($F$24="","",SUM('Curve-Gilts'!$Q$130:$Q$136))</f>
        <v>49.053219913163659</v>
      </c>
    </row>
    <row r="25" spans="1:17" x14ac:dyDescent="0.25">
      <c r="A25" s="184"/>
      <c r="B25" s="92">
        <f t="shared" si="1"/>
        <v>1</v>
      </c>
      <c r="C25" s="92">
        <f>MAX('Curve-Gilts'!G137:G143)</f>
        <v>155</v>
      </c>
      <c r="D25" s="92">
        <f t="shared" si="0"/>
        <v>155</v>
      </c>
      <c r="E25" s="92">
        <f t="shared" si="2"/>
        <v>21</v>
      </c>
      <c r="F25" s="29">
        <f>IFERROR(IF('Кормовой бюджет'!$C$4="Imperial",VLOOKUP(D25,'Curve-Gilts'!$G$2:$R$185,12,FALSE),VLOOKUP(D25,'Curve-Gilts'!$G$2:$R$185,2,FALSE)),"")</f>
        <v>115.9815630679752</v>
      </c>
      <c r="G25" s="29">
        <f>IFERROR(IF(F26="",F25+(MAX('Кормовой бюджет'!$C$43:$J$43)-F25),F25),"")</f>
        <v>122.77658254670938</v>
      </c>
      <c r="H25" s="31">
        <f>IF(F25="","",IF('Кормовой бюджет'!$C$4="Imperial",Q25,P25))</f>
        <v>3.2172584570556801</v>
      </c>
      <c r="I25" s="31">
        <f t="shared" si="3"/>
        <v>3.2172584570556801</v>
      </c>
      <c r="J25" s="122">
        <f t="shared" si="6"/>
        <v>7.817147543943932</v>
      </c>
      <c r="K25" s="122">
        <f t="shared" si="4"/>
        <v>0.4115642488477963</v>
      </c>
      <c r="L25" s="122">
        <f t="shared" si="7"/>
        <v>0.87103411959288124</v>
      </c>
      <c r="M25" s="31">
        <f>IF(H25="","",SUM($H$5:$H25))</f>
        <v>259.60029350213784</v>
      </c>
      <c r="N25" s="122">
        <f t="shared" si="8"/>
        <v>2.1288348745698329</v>
      </c>
      <c r="P25" s="31">
        <f>IF($F$25="","",SUM('Curve-Gilts'!$M$137:$M$143))</f>
        <v>3.2172584570556801</v>
      </c>
      <c r="Q25" s="31">
        <f>IF($F$25="","",SUM('Curve-Gilts'!$Q$137:$Q$143))</f>
        <v>7.0928407747592406</v>
      </c>
    </row>
    <row r="26" spans="1:17" x14ac:dyDescent="0.25">
      <c r="A26" s="184"/>
      <c r="B26" s="92" t="str">
        <f t="shared" si="1"/>
        <v/>
      </c>
      <c r="C26" s="92">
        <f>MAX('Curve-Gilts'!G144:G150)</f>
        <v>0</v>
      </c>
      <c r="D26" s="92" t="str">
        <f t="shared" si="0"/>
        <v/>
      </c>
      <c r="E26" s="92" t="str">
        <f t="shared" si="2"/>
        <v/>
      </c>
      <c r="F26" s="29" t="str">
        <f>IFERROR(IF('Кормовой бюджет'!$C$4="Imperial",VLOOKUP(D26,'Curve-Gilts'!$G$2:$R$185,12,FALSE),VLOOKUP(D26,'Curve-Gilts'!$G$2:$R$185,2,FALSE)),"")</f>
        <v/>
      </c>
      <c r="G26" s="29" t="str">
        <f>IFERROR(IF(F27="",F26+(MAX('Кормовой бюджет'!$C$43:$J$43)-F26),F26),"")</f>
        <v/>
      </c>
      <c r="H26" s="31" t="str">
        <f>IF(F26="","",IF('Кормовой бюджет'!$C$4="Imperial",Q26,P26))</f>
        <v/>
      </c>
      <c r="I26" s="31" t="str">
        <f t="shared" si="3"/>
        <v/>
      </c>
      <c r="J26" s="122" t="str">
        <f t="shared" si="6"/>
        <v/>
      </c>
      <c r="K26" s="122" t="str">
        <f t="shared" si="4"/>
        <v/>
      </c>
      <c r="L26" s="122" t="str">
        <f t="shared" si="7"/>
        <v/>
      </c>
      <c r="M26" s="31" t="str">
        <f>IF(H26="","",SUM($H$5:$H26))</f>
        <v/>
      </c>
      <c r="N26" s="122" t="str">
        <f t="shared" si="8"/>
        <v/>
      </c>
      <c r="P26" s="31" t="str">
        <f>IF($F$26="","",SUM('Curve-Gilts'!$M$144:$M$150))</f>
        <v/>
      </c>
      <c r="Q26" s="31" t="str">
        <f>IF($F$26="","",SUM('Curve-Gilts'!$Q$144:$Q$150))</f>
        <v/>
      </c>
    </row>
    <row r="27" spans="1:17" x14ac:dyDescent="0.25">
      <c r="A27" s="184"/>
      <c r="B27" s="92" t="str">
        <f t="shared" si="1"/>
        <v/>
      </c>
      <c r="C27" s="92">
        <f>MAX('Curve-Gilts'!G151:G157)</f>
        <v>0</v>
      </c>
      <c r="D27" s="92" t="str">
        <f t="shared" si="0"/>
        <v/>
      </c>
      <c r="E27" s="92" t="str">
        <f t="shared" si="2"/>
        <v/>
      </c>
      <c r="F27" s="29" t="str">
        <f>IFERROR(IF('Кормовой бюджет'!$C$4="Imperial",VLOOKUP(D27,'Curve-Gilts'!$G$2:$R$185,12,FALSE),VLOOKUP(D27,'Curve-Gilts'!$G$2:$R$185,2,FALSE)),"")</f>
        <v/>
      </c>
      <c r="G27" s="29" t="str">
        <f>IFERROR(IF(F28="",F27+(MAX('Кормовой бюджет'!$C$43:$J$43)-F27),F27),"")</f>
        <v/>
      </c>
      <c r="H27" s="31" t="str">
        <f>IF(F27="","",IF('Кормовой бюджет'!$C$4="Imperial",Q27,P27))</f>
        <v/>
      </c>
      <c r="I27" s="31" t="str">
        <f t="shared" si="3"/>
        <v/>
      </c>
      <c r="J27" s="122" t="str">
        <f t="shared" si="6"/>
        <v/>
      </c>
      <c r="K27" s="122" t="str">
        <f t="shared" si="4"/>
        <v/>
      </c>
      <c r="L27" s="122" t="str">
        <f t="shared" si="7"/>
        <v/>
      </c>
      <c r="M27" s="31" t="str">
        <f>IF(H27="","",SUM($H$5:$H27))</f>
        <v/>
      </c>
      <c r="N27" s="122" t="str">
        <f t="shared" si="8"/>
        <v/>
      </c>
      <c r="P27" s="31" t="str">
        <f>IF($F$27="","",SUM('Curve-Gilts'!$M$151:$M$157))</f>
        <v/>
      </c>
      <c r="Q27" s="31" t="str">
        <f>IF($F$27="","",SUM('Curve-Gilts'!$Q$151:$Q$157))</f>
        <v/>
      </c>
    </row>
    <row r="28" spans="1:17" x14ac:dyDescent="0.25">
      <c r="A28" s="184"/>
      <c r="B28" s="92" t="str">
        <f t="shared" si="1"/>
        <v/>
      </c>
      <c r="C28" s="161">
        <f>MAX('Curve-Gilts'!G158:G164)</f>
        <v>0</v>
      </c>
      <c r="D28" s="161" t="str">
        <f t="shared" si="0"/>
        <v/>
      </c>
      <c r="E28" s="161" t="str">
        <f t="shared" si="2"/>
        <v/>
      </c>
      <c r="F28" s="29" t="str">
        <f>IFERROR(IF('Кормовой бюджет'!$C$4="Imperial",VLOOKUP(D28,'Curve-Gilts'!$G$2:$R$185,12,FALSE),VLOOKUP(D28,'Curve-Gilts'!$G$2:$R$185,2,FALSE)),"")</f>
        <v/>
      </c>
      <c r="G28" s="29" t="str">
        <f>IFERROR(IF(F29="",F28+(MAX('Кормовой бюджет'!$C$43:$J$43)-F28),F28),"")</f>
        <v/>
      </c>
      <c r="H28" s="31" t="str">
        <f>IF(F28="","",IF('Кормовой бюджет'!$C$4="Imperial",Q28,P28))</f>
        <v/>
      </c>
      <c r="I28" s="31" t="str">
        <f t="shared" si="3"/>
        <v/>
      </c>
      <c r="J28" s="122" t="str">
        <f t="shared" si="6"/>
        <v/>
      </c>
      <c r="K28" s="122" t="str">
        <f t="shared" si="4"/>
        <v/>
      </c>
      <c r="L28" s="122" t="str">
        <f t="shared" si="7"/>
        <v/>
      </c>
      <c r="M28" s="31" t="str">
        <f>IF(H28="","",SUM($H$5:$H28))</f>
        <v/>
      </c>
      <c r="N28" s="122" t="str">
        <f t="shared" si="8"/>
        <v/>
      </c>
      <c r="P28" s="165" t="str">
        <f>IF($F$28="","",SUM('Curve-Gilts'!$M$158:$M$164))</f>
        <v/>
      </c>
      <c r="Q28" s="165" t="str">
        <f>IF($F$28="","",SUM('Curve-Gilts'!$Q$158:$Q$164))</f>
        <v/>
      </c>
    </row>
    <row r="29" spans="1:17" x14ac:dyDescent="0.25">
      <c r="A29" s="184"/>
      <c r="B29" s="92" t="str">
        <f t="shared" si="1"/>
        <v/>
      </c>
      <c r="C29" s="161">
        <f>MAX('Curve-Gilts'!G165:G171)</f>
        <v>0</v>
      </c>
      <c r="D29" s="161" t="str">
        <f t="shared" si="0"/>
        <v/>
      </c>
      <c r="E29" s="161" t="str">
        <f t="shared" si="2"/>
        <v/>
      </c>
      <c r="F29" s="29" t="str">
        <f>IFERROR(IF('Кормовой бюджет'!$C$4="Imperial",VLOOKUP(D29,'Curve-Gilts'!$G$2:$R$185,12,FALSE),VLOOKUP(D29,'Curve-Gilts'!$G$2:$R$185,2,FALSE)),"")</f>
        <v/>
      </c>
      <c r="G29" s="29" t="str">
        <f>IFERROR(IF(F30="",F29+(MAX('Кормовой бюджет'!$C$43:$J$43)-F29),F29),"")</f>
        <v/>
      </c>
      <c r="H29" s="31" t="str">
        <f>IF(F29="","",IF('Кормовой бюджет'!$C$4="Imperial",Q29,P29))</f>
        <v/>
      </c>
      <c r="I29" s="31" t="str">
        <f t="shared" si="3"/>
        <v/>
      </c>
      <c r="J29" s="122" t="str">
        <f t="shared" si="6"/>
        <v/>
      </c>
      <c r="K29" s="122" t="str">
        <f t="shared" si="4"/>
        <v/>
      </c>
      <c r="L29" s="122" t="str">
        <f t="shared" si="7"/>
        <v/>
      </c>
      <c r="M29" s="31" t="str">
        <f>IF(H29="","",SUM($H$5:$H29))</f>
        <v/>
      </c>
      <c r="N29" s="122" t="str">
        <f t="shared" si="8"/>
        <v/>
      </c>
      <c r="P29" s="165" t="str">
        <f>IF($F$29="","",SUM('Curve-Gilts'!$M$165:$M$171))</f>
        <v/>
      </c>
      <c r="Q29" s="165" t="str">
        <f>IF($F$29="","",SUM('Curve-Gilts'!$Q$165:$Q$171))</f>
        <v/>
      </c>
    </row>
    <row r="30" spans="1:17" x14ac:dyDescent="0.25">
      <c r="A30" s="184"/>
      <c r="B30" s="92" t="str">
        <f t="shared" si="1"/>
        <v/>
      </c>
      <c r="C30" s="161">
        <f>MAX('Curve-Gilts'!G172:G178)</f>
        <v>0</v>
      </c>
      <c r="D30" s="161" t="str">
        <f t="shared" si="0"/>
        <v/>
      </c>
      <c r="E30" s="161" t="str">
        <f t="shared" si="2"/>
        <v/>
      </c>
      <c r="F30" s="29" t="str">
        <f>IFERROR(IF('Кормовой бюджет'!$C$4="Imperial",VLOOKUP(D30,'Curve-Gilts'!$G$2:$R$185,12,FALSE),VLOOKUP(D30,'Curve-Gilts'!$G$2:$R$185,2,FALSE)),"")</f>
        <v/>
      </c>
      <c r="G30" s="29" t="str">
        <f>IFERROR(IF(F31="",F30+(MAX('Кормовой бюджет'!$C$43:$J$43)-F30),F30),"")</f>
        <v/>
      </c>
      <c r="H30" s="31" t="str">
        <f>IF(F30="","",IF('Кормовой бюджет'!$C$4="Imperial",Q30,P30))</f>
        <v/>
      </c>
      <c r="I30" s="31" t="str">
        <f t="shared" si="3"/>
        <v/>
      </c>
      <c r="J30" s="122" t="str">
        <f t="shared" si="6"/>
        <v/>
      </c>
      <c r="K30" s="122" t="str">
        <f t="shared" si="4"/>
        <v/>
      </c>
      <c r="L30" s="122" t="str">
        <f t="shared" si="7"/>
        <v/>
      </c>
      <c r="M30" s="31" t="str">
        <f>IF(H30="","",SUM($H$5:$H30))</f>
        <v/>
      </c>
      <c r="N30" s="122" t="str">
        <f>IF(F30="","",M30/(L30*7*E29))</f>
        <v/>
      </c>
      <c r="P30" s="165" t="str">
        <f>IF($F$30="","",SUM('Curve-Gilts'!$M$172:$M$178))</f>
        <v/>
      </c>
      <c r="Q30" s="165" t="str">
        <f>IF($F$30="","",SUM('Curve-Gilts'!$Q$172:$Q$178))</f>
        <v/>
      </c>
    </row>
    <row r="31" spans="1:17" s="172" customFormat="1" x14ac:dyDescent="0.25">
      <c r="A31" s="171"/>
      <c r="B31" s="161" t="str">
        <f>IFERROR(IF(D31-D30&lt;0,"",D31-D30),"")</f>
        <v/>
      </c>
      <c r="C31" s="161">
        <f>MAX('Curve-Gilts'!G179:G185)</f>
        <v>0</v>
      </c>
      <c r="D31" s="161" t="str">
        <f t="shared" si="0"/>
        <v/>
      </c>
      <c r="E31" s="161" t="str">
        <f t="shared" si="2"/>
        <v/>
      </c>
      <c r="F31" s="164" t="str">
        <f>IFERROR(IF('Кормовой бюджет'!$C$4="Imperial",VLOOKUP(D31,'Curve-Gilts'!$G$2:$R$185,12,FALSE),VLOOKUP(D31,'Curve-Gilts'!$G$2:$R$185,2,FALSE)),"")</f>
        <v/>
      </c>
      <c r="G31" s="164" t="str">
        <f>IFERROR(IF(F32="",F31+(MAX('Кормовой бюджет'!$C$43:$J$43)-F31),F31),"")</f>
        <v/>
      </c>
      <c r="H31" s="165" t="str">
        <f>IF(F31="","",IF('Кормовой бюджет'!$C$4="Imperial",Q31,P31))</f>
        <v/>
      </c>
      <c r="I31" s="165" t="str">
        <f t="shared" si="3"/>
        <v/>
      </c>
      <c r="J31" s="167" t="str">
        <f t="shared" si="6"/>
        <v/>
      </c>
      <c r="K31" s="167" t="str">
        <f t="shared" si="4"/>
        <v/>
      </c>
      <c r="L31" s="167" t="str">
        <f t="shared" si="7"/>
        <v/>
      </c>
      <c r="M31" s="165" t="str">
        <f>IF(H31="","",SUM($H$5:$H31))</f>
        <v/>
      </c>
      <c r="N31" s="167" t="str">
        <f t="shared" si="8"/>
        <v/>
      </c>
      <c r="P31" s="165" t="str">
        <f>IF($F$31="","",SUM('Curve-Gilts'!$M$179:$M$185))</f>
        <v/>
      </c>
      <c r="Q31" s="165" t="str">
        <f>IF($F$31="","",SUM('Curve-Gilts'!$Q$179:$Q$185))</f>
        <v/>
      </c>
    </row>
    <row r="32" spans="1:17" s="166" customFormat="1" x14ac:dyDescent="0.25">
      <c r="A32" s="172"/>
    </row>
    <row r="33" spans="1:1" s="166" customFormat="1" x14ac:dyDescent="0.25">
      <c r="A33" s="172"/>
    </row>
  </sheetData>
  <mergeCells count="13">
    <mergeCell ref="I3:I4"/>
    <mergeCell ref="C3:C4"/>
    <mergeCell ref="D2:N2"/>
    <mergeCell ref="D3:D4"/>
    <mergeCell ref="E3:E4"/>
    <mergeCell ref="F3:F4"/>
    <mergeCell ref="G3:G4"/>
    <mergeCell ref="H3:H4"/>
    <mergeCell ref="J3:J4"/>
    <mergeCell ref="K3:K4"/>
    <mergeCell ref="L3:L4"/>
    <mergeCell ref="M3:M4"/>
    <mergeCell ref="N3:N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435929B912A24BBD8B2FFC0C87E709" ma:contentTypeVersion="4" ma:contentTypeDescription="Create a new document." ma:contentTypeScope="" ma:versionID="994cfc7aa69f33d22703884a215541c9">
  <xsd:schema xmlns:xsd="http://www.w3.org/2001/XMLSchema" xmlns:xs="http://www.w3.org/2001/XMLSchema" xmlns:p="http://schemas.microsoft.com/office/2006/metadata/properties" xmlns:ns2="0d5007d6-10e6-4b05-93e0-4ceea4a36e76" xmlns:ns3="34cc2e9b-5efc-4a56-b7a5-4bc072b79e78" targetNamespace="http://schemas.microsoft.com/office/2006/metadata/properties" ma:root="true" ma:fieldsID="9657231a56e5a67fc30dc74254921b5b" ns2:_="" ns3:_="">
    <xsd:import namespace="0d5007d6-10e6-4b05-93e0-4ceea4a36e76"/>
    <xsd:import namespace="34cc2e9b-5efc-4a56-b7a5-4bc072b79e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5007d6-10e6-4b05-93e0-4ceea4a36e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cc2e9b-5efc-4a56-b7a5-4bc072b79e7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7C3C54-63E0-4013-A701-79DD0E3C8B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5007d6-10e6-4b05-93e0-4ceea4a36e76"/>
    <ds:schemaRef ds:uri="34cc2e9b-5efc-4a56-b7a5-4bc072b79e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4CD9FF-E900-4EFA-A562-680837375695}">
  <ds:schemaRefs>
    <ds:schemaRef ds:uri="http://schemas.microsoft.com/sharepoint/v3/contenttype/forms"/>
  </ds:schemaRefs>
</ds:datastoreItem>
</file>

<file path=customXml/itemProps3.xml><?xml version="1.0" encoding="utf-8"?>
<ds:datastoreItem xmlns:ds="http://schemas.openxmlformats.org/officeDocument/2006/customXml" ds:itemID="{27E937EF-2E88-4392-8CE8-A1FD9F95643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Диаграммы</vt:lpstr>
      </vt:variant>
      <vt:variant>
        <vt:i4>4</vt:i4>
      </vt:variant>
    </vt:vector>
  </HeadingPairs>
  <TitlesOfParts>
    <vt:vector size="26" baseType="lpstr">
      <vt:lpstr>Nursery</vt:lpstr>
      <vt:lpstr>337-Adj</vt:lpstr>
      <vt:lpstr>337</vt:lpstr>
      <vt:lpstr>Инструкция</vt:lpstr>
      <vt:lpstr>Кормовой бюджет</vt:lpstr>
      <vt:lpstr>Graphs</vt:lpstr>
      <vt:lpstr>Table Mixed Gender</vt:lpstr>
      <vt:lpstr>Table Barrows</vt:lpstr>
      <vt:lpstr>Table Gilts</vt:lpstr>
      <vt:lpstr>Table</vt:lpstr>
      <vt:lpstr>Curve-Mixed</vt:lpstr>
      <vt:lpstr>Curve-Gilts</vt:lpstr>
      <vt:lpstr>Curve-Barrows</vt:lpstr>
      <vt:lpstr>I-Mixed</vt:lpstr>
      <vt:lpstr>I-Barrows</vt:lpstr>
      <vt:lpstr>I-Gilts</vt:lpstr>
      <vt:lpstr>Adj-Mixed</vt:lpstr>
      <vt:lpstr>Adj-Barrows</vt:lpstr>
      <vt:lpstr>Adj-Gilts</vt:lpstr>
      <vt:lpstr>E-Mixed</vt:lpstr>
      <vt:lpstr>E-Barrows</vt:lpstr>
      <vt:lpstr>E-Gilts</vt:lpstr>
      <vt:lpstr>Weight</vt:lpstr>
      <vt:lpstr>ADFI</vt:lpstr>
      <vt:lpstr>ADG</vt:lpstr>
      <vt:lpstr>FG</vt:lpstr>
    </vt:vector>
  </TitlesOfParts>
  <Company>Genus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Uislei Orlando</dc:creator>
  <cp:lastModifiedBy>Anton Roschupkin</cp:lastModifiedBy>
  <dcterms:created xsi:type="dcterms:W3CDTF">2020-12-10T20:24:25Z</dcterms:created>
  <dcterms:modified xsi:type="dcterms:W3CDTF">2022-05-07T09:08:57Z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0x01010084435929B912A24BBD8B2FFC0C87E709</vt:lpwstr>
  </property>
</Properties>
</file>