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nsplc-my.sharepoint.com/personal/anton_roschupkin_genusplc_com/Documents/Documents/Мои документы PIC/Кормление/Инструменты/Калькуляторы 2021/"/>
    </mc:Choice>
  </mc:AlternateContent>
  <xr:revisionPtr revIDLastSave="192" documentId="13_ncr:1_{EBB07766-0855-44CE-AA23-3381F15C94CD}" xr6:coauthVersionLast="47" xr6:coauthVersionMax="47" xr10:uidLastSave="{8E996450-80C2-4BC2-8684-8FA296DCFCEE}"/>
  <workbookProtection workbookAlgorithmName="SHA-512" workbookHashValue="Ko9+yEMBmQMjtgFgjHb5GQKrcER/DKTNZKyuqcUqBtlGLBQ4Kc7gs5fqg5zhGEsxYovaofxui+8pX1MiU1ovew==" workbookSaltValue="geuYCXYduAvboMC5huWZcg==" workbookSpinCount="100000" lockStructure="1"/>
  <bookViews>
    <workbookView xWindow="-120" yWindow="-120" windowWidth="29040" windowHeight="16440" activeTab="2" xr2:uid="{00000000-000D-0000-FFFF-FFFF00000000}"/>
  </bookViews>
  <sheets>
    <sheet name="Инструкция" sheetId="9" r:id="rId1"/>
    <sheet name="STTD фосфор метрика - ОЭ" sheetId="6" r:id="rId2"/>
    <sheet name="Доступный фосфор метрика - ОЭ" sheetId="12" r:id="rId3"/>
  </sheets>
  <definedNames>
    <definedName name="solver_adj" localSheetId="1" hidden="1">'STTD фосфор метрика - ОЭ'!#REF!</definedName>
    <definedName name="solver_adj" localSheetId="2" hidden="1">'Доступный фосфор метрика - ОЭ'!#REF!</definedName>
    <definedName name="solver_adj" localSheetId="0" hidden="1">Инструкция!#REF!</definedName>
    <definedName name="solver_cvg" localSheetId="1" hidden="1">0.0001</definedName>
    <definedName name="solver_cvg" localSheetId="2" hidden="1">0.0001</definedName>
    <definedName name="solver_cvg" localSheetId="0" hidden="1">0.0001</definedName>
    <definedName name="solver_drv" localSheetId="1" hidden="1">1</definedName>
    <definedName name="solver_drv" localSheetId="2" hidden="1">1</definedName>
    <definedName name="solver_drv" localSheetId="0" hidden="1">1</definedName>
    <definedName name="solver_est" localSheetId="1" hidden="1">1</definedName>
    <definedName name="solver_est" localSheetId="2" hidden="1">1</definedName>
    <definedName name="solver_est" localSheetId="0" hidden="1">1</definedName>
    <definedName name="solver_itr" localSheetId="1" hidden="1">100</definedName>
    <definedName name="solver_itr" localSheetId="2" hidden="1">100</definedName>
    <definedName name="solver_itr" localSheetId="0" hidden="1">100</definedName>
    <definedName name="solver_lhs1" localSheetId="1" hidden="1">'STTD фосфор метрика - ОЭ'!#REF!</definedName>
    <definedName name="solver_lhs1" localSheetId="2" hidden="1">'Доступный фосфор метрика - ОЭ'!#REF!</definedName>
    <definedName name="solver_lhs1" localSheetId="0" hidden="1">Инструкция!#REF!</definedName>
    <definedName name="solver_lhs2" localSheetId="1" hidden="1">'STTD фосфор метрика - ОЭ'!#REF!</definedName>
    <definedName name="solver_lhs2" localSheetId="2" hidden="1">'Доступный фосфор метрика - ОЭ'!#REF!</definedName>
    <definedName name="solver_lhs2" localSheetId="0" hidden="1">Инструкция!#REF!</definedName>
    <definedName name="solver_lin" localSheetId="1" hidden="1">2</definedName>
    <definedName name="solver_lin" localSheetId="2" hidden="1">2</definedName>
    <definedName name="solver_lin" localSheetId="0" hidden="1">2</definedName>
    <definedName name="solver_neg" localSheetId="1" hidden="1">2</definedName>
    <definedName name="solver_neg" localSheetId="2" hidden="1">2</definedName>
    <definedName name="solver_neg" localSheetId="0" hidden="1">2</definedName>
    <definedName name="solver_num" localSheetId="1" hidden="1">2</definedName>
    <definedName name="solver_num" localSheetId="2" hidden="1">2</definedName>
    <definedName name="solver_num" localSheetId="0" hidden="1">2</definedName>
    <definedName name="solver_nwt" localSheetId="1" hidden="1">1</definedName>
    <definedName name="solver_nwt" localSheetId="2" hidden="1">1</definedName>
    <definedName name="solver_nwt" localSheetId="0" hidden="1">1</definedName>
    <definedName name="solver_opt" localSheetId="1" hidden="1">'STTD фосфор метрика - ОЭ'!#REF!</definedName>
    <definedName name="solver_opt" localSheetId="2" hidden="1">'Доступный фосфор метрика - ОЭ'!#REF!</definedName>
    <definedName name="solver_opt" localSheetId="0" hidden="1">Инструкция!#REF!</definedName>
    <definedName name="solver_pre" localSheetId="1" hidden="1">0.000001</definedName>
    <definedName name="solver_pre" localSheetId="2" hidden="1">0.000001</definedName>
    <definedName name="solver_pre" localSheetId="0" hidden="1">0.000001</definedName>
    <definedName name="solver_rel1" localSheetId="1" hidden="1">2</definedName>
    <definedName name="solver_rel1" localSheetId="2" hidden="1">2</definedName>
    <definedName name="solver_rel1" localSheetId="0" hidden="1">2</definedName>
    <definedName name="solver_rel2" localSheetId="1" hidden="1">2</definedName>
    <definedName name="solver_rel2" localSheetId="2" hidden="1">2</definedName>
    <definedName name="solver_rel2" localSheetId="0" hidden="1">2</definedName>
    <definedName name="solver_rhs1" localSheetId="1" hidden="1">0</definedName>
    <definedName name="solver_rhs1" localSheetId="2" hidden="1">0</definedName>
    <definedName name="solver_rhs1" localSheetId="0" hidden="1">0</definedName>
    <definedName name="solver_rhs2" localSheetId="1" hidden="1">0</definedName>
    <definedName name="solver_rhs2" localSheetId="2" hidden="1">0</definedName>
    <definedName name="solver_rhs2" localSheetId="0" hidden="1">0</definedName>
    <definedName name="solver_scl" localSheetId="1" hidden="1">2</definedName>
    <definedName name="solver_scl" localSheetId="2" hidden="1">2</definedName>
    <definedName name="solver_scl" localSheetId="0" hidden="1">2</definedName>
    <definedName name="solver_sho" localSheetId="1" hidden="1">2</definedName>
    <definedName name="solver_sho" localSheetId="2" hidden="1">2</definedName>
    <definedName name="solver_sho" localSheetId="0" hidden="1">2</definedName>
    <definedName name="solver_tim" localSheetId="1" hidden="1">100</definedName>
    <definedName name="solver_tim" localSheetId="2" hidden="1">100</definedName>
    <definedName name="solver_tim" localSheetId="0" hidden="1">100</definedName>
    <definedName name="solver_tol" localSheetId="1" hidden="1">0.05</definedName>
    <definedName name="solver_tol" localSheetId="2" hidden="1">0.05</definedName>
    <definedName name="solver_tol" localSheetId="0" hidden="1">0.05</definedName>
    <definedName name="solver_typ" localSheetId="1" hidden="1">2</definedName>
    <definedName name="solver_typ" localSheetId="2" hidden="1">2</definedName>
    <definedName name="solver_typ" localSheetId="0" hidden="1">2</definedName>
    <definedName name="solver_val" localSheetId="1" hidden="1">0</definedName>
    <definedName name="solver_val" localSheetId="2" hidden="1">0</definedName>
    <definedName name="solver_val" localSheetId="0" hidden="1">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" i="6" l="1"/>
  <c r="F4" i="6"/>
  <c r="G4" i="6"/>
  <c r="H4" i="6"/>
  <c r="D4" i="6"/>
  <c r="J31" i="12"/>
  <c r="J32" i="12"/>
  <c r="J33" i="12"/>
  <c r="J34" i="12"/>
  <c r="J35" i="12"/>
  <c r="J37" i="12"/>
  <c r="J38" i="12"/>
  <c r="J26" i="12"/>
  <c r="J19" i="12" s="1"/>
  <c r="J25" i="12"/>
  <c r="J18" i="12" s="1"/>
  <c r="J12" i="12"/>
  <c r="J11" i="12"/>
  <c r="J13" i="12" s="1"/>
  <c r="J8" i="12"/>
  <c r="J7" i="12"/>
  <c r="I12" i="12"/>
  <c r="H8" i="12"/>
  <c r="G12" i="12"/>
  <c r="F12" i="12"/>
  <c r="E12" i="12"/>
  <c r="D12" i="12"/>
  <c r="C12" i="12"/>
  <c r="H7" i="12"/>
  <c r="G11" i="12"/>
  <c r="G13" i="12" s="1"/>
  <c r="D11" i="12"/>
  <c r="C7" i="12"/>
  <c r="H11" i="12" l="1"/>
  <c r="D13" i="12"/>
  <c r="D26" i="12" s="1"/>
  <c r="D19" i="12" s="1"/>
  <c r="D34" i="12" s="1"/>
  <c r="D7" i="12"/>
  <c r="H9" i="12"/>
  <c r="C8" i="12"/>
  <c r="C9" i="12" s="1"/>
  <c r="G7" i="12"/>
  <c r="D8" i="12"/>
  <c r="C11" i="12"/>
  <c r="C13" i="12" s="1"/>
  <c r="C26" i="12" s="1"/>
  <c r="C19" i="12" s="1"/>
  <c r="C34" i="12" s="1"/>
  <c r="H12" i="12"/>
  <c r="G8" i="12"/>
  <c r="J9" i="12"/>
  <c r="J24" i="12"/>
  <c r="J23" i="12"/>
  <c r="J16" i="12" s="1"/>
  <c r="G26" i="12"/>
  <c r="G19" i="12" s="1"/>
  <c r="G34" i="12" s="1"/>
  <c r="E7" i="12"/>
  <c r="I7" i="12"/>
  <c r="E8" i="12"/>
  <c r="I8" i="12"/>
  <c r="E11" i="12"/>
  <c r="E13" i="12" s="1"/>
  <c r="I11" i="12"/>
  <c r="I13" i="12" s="1"/>
  <c r="I26" i="12" s="1"/>
  <c r="I19" i="12" s="1"/>
  <c r="I34" i="12" s="1"/>
  <c r="F7" i="12"/>
  <c r="F8" i="12"/>
  <c r="F11" i="12"/>
  <c r="F13" i="12" s="1"/>
  <c r="F26" i="12" s="1"/>
  <c r="F19" i="12" s="1"/>
  <c r="F34" i="12" s="1"/>
  <c r="J28" i="12"/>
  <c r="J21" i="12" s="1"/>
  <c r="E9" i="12" l="1"/>
  <c r="H13" i="12"/>
  <c r="H26" i="12" s="1"/>
  <c r="H19" i="12" s="1"/>
  <c r="H34" i="12" s="1"/>
  <c r="G9" i="12"/>
  <c r="D9" i="12"/>
  <c r="J27" i="12"/>
  <c r="J20" i="12" s="1"/>
  <c r="J17" i="12"/>
  <c r="J36" i="12"/>
  <c r="E26" i="12"/>
  <c r="E19" i="12" s="1"/>
  <c r="E34" i="12" s="1"/>
  <c r="G23" i="12"/>
  <c r="G16" i="12" s="1"/>
  <c r="G31" i="12" s="1"/>
  <c r="C23" i="12"/>
  <c r="C16" i="12" s="1"/>
  <c r="C31" i="12" s="1"/>
  <c r="I9" i="12"/>
  <c r="G24" i="12"/>
  <c r="F24" i="12"/>
  <c r="F17" i="12" s="1"/>
  <c r="F32" i="12" s="1"/>
  <c r="F9" i="12"/>
  <c r="F23" i="12"/>
  <c r="F16" i="12" s="1"/>
  <c r="F31" i="12" s="1"/>
  <c r="I23" i="12"/>
  <c r="I16" i="12" s="1"/>
  <c r="I31" i="12" s="1"/>
  <c r="C24" i="12"/>
  <c r="C17" i="12" s="1"/>
  <c r="C32" i="12" s="1"/>
  <c r="D23" i="12"/>
  <c r="D16" i="12" s="1"/>
  <c r="D31" i="12" s="1"/>
  <c r="I24" i="12"/>
  <c r="I17" i="12" s="1"/>
  <c r="I32" i="12" s="1"/>
  <c r="D24" i="12"/>
  <c r="D17" i="12" s="1"/>
  <c r="D32" i="12" s="1"/>
  <c r="H24" i="12" l="1"/>
  <c r="H17" i="12" s="1"/>
  <c r="H32" i="12" s="1"/>
  <c r="H23" i="12"/>
  <c r="H16" i="12" s="1"/>
  <c r="H31" i="12" s="1"/>
  <c r="G25" i="12"/>
  <c r="G17" i="12"/>
  <c r="G32" i="12" s="1"/>
  <c r="G27" i="12"/>
  <c r="G20" i="12" s="1"/>
  <c r="G37" i="12" s="1"/>
  <c r="E24" i="12"/>
  <c r="E17" i="12" s="1"/>
  <c r="E32" i="12" s="1"/>
  <c r="E23" i="12"/>
  <c r="E16" i="12" s="1"/>
  <c r="E31" i="12" s="1"/>
  <c r="D27" i="12"/>
  <c r="D20" i="12" s="1"/>
  <c r="D37" i="12" s="1"/>
  <c r="D25" i="12"/>
  <c r="H25" i="12"/>
  <c r="C27" i="12"/>
  <c r="C20" i="12" s="1"/>
  <c r="C37" i="12" s="1"/>
  <c r="C25" i="12"/>
  <c r="C18" i="12" s="1"/>
  <c r="C33" i="12" s="1"/>
  <c r="C35" i="12" s="1"/>
  <c r="F27" i="12"/>
  <c r="F20" i="12" s="1"/>
  <c r="F37" i="12" s="1"/>
  <c r="F25" i="12"/>
  <c r="I27" i="12"/>
  <c r="I20" i="12" s="1"/>
  <c r="I37" i="12" s="1"/>
  <c r="I25" i="12"/>
  <c r="H27" i="12" l="1"/>
  <c r="H20" i="12" s="1"/>
  <c r="H37" i="12" s="1"/>
  <c r="I36" i="12"/>
  <c r="I18" i="12"/>
  <c r="I33" i="12" s="1"/>
  <c r="I35" i="12" s="1"/>
  <c r="D36" i="12"/>
  <c r="D18" i="12"/>
  <c r="D33" i="12" s="1"/>
  <c r="D35" i="12" s="1"/>
  <c r="F18" i="12"/>
  <c r="F33" i="12" s="1"/>
  <c r="F35" i="12" s="1"/>
  <c r="F36" i="12"/>
  <c r="E25" i="12"/>
  <c r="H36" i="12"/>
  <c r="H18" i="12"/>
  <c r="H33" i="12" s="1"/>
  <c r="H35" i="12" s="1"/>
  <c r="G28" i="12"/>
  <c r="G18" i="12"/>
  <c r="G33" i="12" s="1"/>
  <c r="G35" i="12" s="1"/>
  <c r="G36" i="12"/>
  <c r="E27" i="12"/>
  <c r="E20" i="12" s="1"/>
  <c r="E37" i="12" s="1"/>
  <c r="F28" i="12"/>
  <c r="I28" i="12"/>
  <c r="H28" i="12"/>
  <c r="D28" i="12"/>
  <c r="C28" i="12"/>
  <c r="C36" i="12"/>
  <c r="C21" i="12" l="1"/>
  <c r="C38" i="12" s="1"/>
  <c r="H21" i="12"/>
  <c r="H38" i="12" s="1"/>
  <c r="G21" i="12"/>
  <c r="G38" i="12" s="1"/>
  <c r="I38" i="12"/>
  <c r="I21" i="12"/>
  <c r="D21" i="12"/>
  <c r="D38" i="12" s="1"/>
  <c r="F21" i="12"/>
  <c r="F38" i="12" s="1"/>
  <c r="E36" i="12"/>
  <c r="E18" i="12"/>
  <c r="E33" i="12" s="1"/>
  <c r="E35" i="12" s="1"/>
  <c r="E28" i="12"/>
  <c r="E21" i="12" l="1"/>
  <c r="E38" i="12" s="1"/>
  <c r="J30" i="6"/>
  <c r="J31" i="6"/>
  <c r="J18" i="6"/>
  <c r="J21" i="6" s="1"/>
  <c r="J19" i="6" l="1"/>
  <c r="J27" i="6" l="1"/>
  <c r="C7" i="6" l="1"/>
  <c r="D7" i="6"/>
  <c r="E7" i="6"/>
  <c r="F7" i="6"/>
  <c r="G7" i="6"/>
  <c r="H7" i="6"/>
  <c r="I7" i="6"/>
  <c r="J7" i="6"/>
  <c r="J9" i="6" s="1"/>
  <c r="D8" i="6"/>
  <c r="E8" i="6"/>
  <c r="F8" i="6"/>
  <c r="G8" i="6"/>
  <c r="H8" i="6"/>
  <c r="I8" i="6"/>
  <c r="J8" i="6"/>
  <c r="C8" i="6"/>
  <c r="F9" i="6" l="1"/>
  <c r="I9" i="6"/>
  <c r="E9" i="6"/>
  <c r="H9" i="6"/>
  <c r="D9" i="6"/>
  <c r="G9" i="6"/>
  <c r="C9" i="6"/>
  <c r="I11" i="6"/>
  <c r="J11" i="6"/>
  <c r="I12" i="6"/>
  <c r="J12" i="6"/>
  <c r="I13" i="6" l="1"/>
  <c r="I19" i="6" s="1"/>
  <c r="J13" i="6"/>
  <c r="J16" i="6" s="1"/>
  <c r="I27" i="6"/>
  <c r="I16" i="6"/>
  <c r="I17" i="6"/>
  <c r="I20" i="6" s="1"/>
  <c r="I30" i="6" s="1"/>
  <c r="J25" i="6"/>
  <c r="J17" i="6" l="1"/>
  <c r="J20" i="6" s="1"/>
  <c r="I18" i="6"/>
  <c r="J24" i="6"/>
  <c r="J26" i="6"/>
  <c r="J28" i="6" s="1"/>
  <c r="I24" i="6"/>
  <c r="I25" i="6"/>
  <c r="I31" i="6" l="1"/>
  <c r="I21" i="6"/>
  <c r="I26" i="6"/>
  <c r="I28" i="6" s="1"/>
  <c r="J29" i="6"/>
  <c r="I29" i="6" l="1"/>
  <c r="C12" i="6" l="1"/>
  <c r="D11" i="6"/>
  <c r="E11" i="6"/>
  <c r="F11" i="6"/>
  <c r="G11" i="6"/>
  <c r="H11" i="6"/>
  <c r="D12" i="6"/>
  <c r="E12" i="6"/>
  <c r="F12" i="6"/>
  <c r="G12" i="6"/>
  <c r="H12" i="6"/>
  <c r="C11" i="6"/>
  <c r="F13" i="6" l="1"/>
  <c r="F19" i="6" s="1"/>
  <c r="F27" i="6" s="1"/>
  <c r="C13" i="6"/>
  <c r="C19" i="6" s="1"/>
  <c r="C27" i="6" s="1"/>
  <c r="E13" i="6"/>
  <c r="E19" i="6" s="1"/>
  <c r="E27" i="6" s="1"/>
  <c r="H13" i="6"/>
  <c r="H19" i="6" s="1"/>
  <c r="H27" i="6" s="1"/>
  <c r="D13" i="6"/>
  <c r="D19" i="6" s="1"/>
  <c r="D27" i="6" s="1"/>
  <c r="G13" i="6"/>
  <c r="G19" i="6" s="1"/>
  <c r="G27" i="6" s="1"/>
  <c r="F17" i="6" l="1"/>
  <c r="F20" i="6" s="1"/>
  <c r="F30" i="6" s="1"/>
  <c r="F16" i="6"/>
  <c r="F24" i="6" s="1"/>
  <c r="C17" i="6"/>
  <c r="C16" i="6"/>
  <c r="C24" i="6" s="1"/>
  <c r="G16" i="6"/>
  <c r="G24" i="6" s="1"/>
  <c r="G17" i="6"/>
  <c r="G20" i="6" s="1"/>
  <c r="G30" i="6" s="1"/>
  <c r="H17" i="6"/>
  <c r="H20" i="6" s="1"/>
  <c r="H30" i="6" s="1"/>
  <c r="H16" i="6"/>
  <c r="H24" i="6" s="1"/>
  <c r="D17" i="6"/>
  <c r="D20" i="6" s="1"/>
  <c r="D30" i="6" s="1"/>
  <c r="D16" i="6"/>
  <c r="D24" i="6" s="1"/>
  <c r="E17" i="6"/>
  <c r="E20" i="6" s="1"/>
  <c r="E30" i="6" s="1"/>
  <c r="E16" i="6"/>
  <c r="E24" i="6" s="1"/>
  <c r="F25" i="6" l="1"/>
  <c r="F18" i="6"/>
  <c r="C18" i="6"/>
  <c r="C29" i="6" s="1"/>
  <c r="C20" i="6"/>
  <c r="C30" i="6" s="1"/>
  <c r="C25" i="6"/>
  <c r="D18" i="6"/>
  <c r="E25" i="6"/>
  <c r="E18" i="6"/>
  <c r="E26" i="6" s="1"/>
  <c r="H25" i="6"/>
  <c r="H18" i="6"/>
  <c r="G25" i="6"/>
  <c r="G18" i="6"/>
  <c r="D25" i="6"/>
  <c r="H21" i="6" l="1"/>
  <c r="H31" i="6" s="1"/>
  <c r="C21" i="6"/>
  <c r="C31" i="6" s="1"/>
  <c r="G21" i="6"/>
  <c r="G31" i="6" s="1"/>
  <c r="E21" i="6"/>
  <c r="E31" i="6" s="1"/>
  <c r="D21" i="6"/>
  <c r="D31" i="6" s="1"/>
  <c r="F21" i="6"/>
  <c r="F31" i="6" s="1"/>
  <c r="F26" i="6"/>
  <c r="F28" i="6" s="1"/>
  <c r="G26" i="6"/>
  <c r="G28" i="6" s="1"/>
  <c r="E28" i="6"/>
  <c r="D26" i="6"/>
  <c r="D28" i="6" s="1"/>
  <c r="C26" i="6"/>
  <c r="C28" i="6" s="1"/>
  <c r="H29" i="6"/>
  <c r="H26" i="6"/>
  <c r="H28" i="6" s="1"/>
  <c r="E29" i="6"/>
  <c r="G29" i="6"/>
  <c r="F29" i="6"/>
  <c r="D29" i="6"/>
</calcChain>
</file>

<file path=xl/sharedStrings.xml><?xml version="1.0" encoding="utf-8"?>
<sst xmlns="http://schemas.openxmlformats.org/spreadsheetml/2006/main" count="57" uniqueCount="28">
  <si>
    <t>Weight In, kg</t>
  </si>
  <si>
    <t>Weight Out, kg</t>
  </si>
  <si>
    <t>Weight Out, lb</t>
  </si>
  <si>
    <t>Weight In, lb</t>
  </si>
  <si>
    <t>% SID Lys (Boars:Barrows)</t>
  </si>
  <si>
    <t xml:space="preserve">     Barrows and Gilts</t>
  </si>
  <si>
    <t>STTD P, grams:Mcal ME</t>
  </si>
  <si>
    <t xml:space="preserve">     Commercial Barrows</t>
  </si>
  <si>
    <t xml:space="preserve">     Commercial Gilts</t>
  </si>
  <si>
    <t xml:space="preserve">     Commercial Boars</t>
  </si>
  <si>
    <t xml:space="preserve">     Developing Boars</t>
  </si>
  <si>
    <t xml:space="preserve">     Developing Gilts</t>
  </si>
  <si>
    <t>α</t>
  </si>
  <si>
    <t>Уровень энергии, NRC ОЭ ккал/кг</t>
  </si>
  <si>
    <t>Стартовый вес , кг</t>
  </si>
  <si>
    <t>Финишный вес, кг</t>
  </si>
  <si>
    <t xml:space="preserve">     Хрячки</t>
  </si>
  <si>
    <t xml:space="preserve">     Свинки</t>
  </si>
  <si>
    <t>STTD фосфор, г:Мкал ОЭ</t>
  </si>
  <si>
    <t xml:space="preserve">     Хряки</t>
  </si>
  <si>
    <t xml:space="preserve">     Ремонтные свинки </t>
  </si>
  <si>
    <t xml:space="preserve">     Хрячки и свинки</t>
  </si>
  <si>
    <t>STTD фосфор, % в рационе</t>
  </si>
  <si>
    <t xml:space="preserve">     Хряки и  свинки</t>
  </si>
  <si>
    <t>Доступный фосфор, г:Мкал ОЭ</t>
  </si>
  <si>
    <t>Доступный фосфор, % в рационе</t>
  </si>
  <si>
    <t>Соотношение стандартного перевариваемого фосфора к энергии соответствует биологическим требованиям для потомства PIC 327, 337 и 359. PIC предлагает использовать 99% на основе расчёта инструмента  для потомства PIC  380, 408 и 410 и 97% для потомства PIC  800 для достижения биологических требований этих линий.</t>
  </si>
  <si>
    <t>Соотношение доступного фосфора к энергии соответствует биологическим требованиям для потомства PIC 327, 337 и 359. PIC предлагает использовать 99% на основе расчёта инструмента  для потомства PIC  380, 408 и 410 и 97% для потомства PIC  800 для достижения биологических требований этих линий.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</si>
</sst>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b/>
      <sz val="16"/>
      <color rgb="FF0070C0"/>
      <name val="Calibri"/>
      <family val="2"/>
    </font>
    <font>
      <b/>
      <sz val="9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left"/>
    </xf>
    <xf numFmtId="2" fontId="0" fillId="0" borderId="1" xfId="0" applyNumberFormat="1" applyFill="1" applyBorder="1" applyAlignment="1" applyProtection="1">
      <alignment horizontal="center"/>
      <protection hidden="1"/>
    </xf>
    <xf numFmtId="2" fontId="2" fillId="0" borderId="1" xfId="0" applyNumberFormat="1" applyFont="1" applyFill="1" applyBorder="1" applyAlignment="1" applyProtection="1">
      <alignment horizontal="center"/>
      <protection hidden="1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0" fillId="0" borderId="0" xfId="0" applyProtection="1">
      <protection hidden="1"/>
    </xf>
    <xf numFmtId="0" fontId="0" fillId="0" borderId="0" xfId="0" applyAlignment="1" applyProtection="1">
      <alignment horizontal="center"/>
      <protection hidden="1"/>
    </xf>
    <xf numFmtId="0" fontId="1" fillId="0" borderId="0" xfId="0" applyFont="1" applyProtection="1">
      <protection hidden="1"/>
    </xf>
    <xf numFmtId="1" fontId="0" fillId="0" borderId="1" xfId="0" applyNumberFormat="1" applyFill="1" applyBorder="1" applyAlignment="1" applyProtection="1">
      <alignment horizontal="center"/>
      <protection hidden="1"/>
    </xf>
    <xf numFmtId="164" fontId="0" fillId="0" borderId="0" xfId="0" applyNumberFormat="1" applyAlignment="1" applyProtection="1">
      <alignment horizontal="center"/>
      <protection hidden="1"/>
    </xf>
    <xf numFmtId="164" fontId="0" fillId="0" borderId="0" xfId="0" applyNumberFormat="1" applyFill="1" applyAlignment="1" applyProtection="1">
      <alignment horizontal="center"/>
      <protection hidden="1"/>
    </xf>
    <xf numFmtId="0" fontId="0" fillId="0" borderId="0" xfId="0" applyFill="1" applyAlignment="1" applyProtection="1">
      <alignment horizontal="center"/>
      <protection hidden="1"/>
    </xf>
    <xf numFmtId="0" fontId="0" fillId="0" borderId="0" xfId="0" applyBorder="1" applyProtection="1">
      <protection hidden="1"/>
    </xf>
    <xf numFmtId="0" fontId="2" fillId="0" borderId="0" xfId="0" applyFont="1" applyFill="1" applyProtection="1">
      <protection hidden="1"/>
    </xf>
    <xf numFmtId="0" fontId="2" fillId="0" borderId="0" xfId="0" applyFont="1" applyFill="1" applyAlignment="1" applyProtection="1">
      <alignment horizontal="center"/>
      <protection hidden="1"/>
    </xf>
    <xf numFmtId="0" fontId="0" fillId="0" borderId="0" xfId="0" quotePrefix="1" applyProtection="1">
      <protection hidden="1"/>
    </xf>
    <xf numFmtId="0" fontId="0" fillId="0" borderId="0" xfId="0" quotePrefix="1" applyAlignment="1" applyProtection="1">
      <alignment horizontal="center"/>
      <protection hidden="1"/>
    </xf>
    <xf numFmtId="1" fontId="0" fillId="0" borderId="0" xfId="0" applyNumberFormat="1" applyFill="1" applyBorder="1" applyAlignment="1" applyProtection="1">
      <alignment horizontal="center"/>
      <protection hidden="1"/>
    </xf>
    <xf numFmtId="0" fontId="0" fillId="0" borderId="0" xfId="0" applyFill="1" applyProtection="1">
      <protection hidden="1"/>
    </xf>
    <xf numFmtId="0" fontId="0" fillId="0" borderId="0" xfId="0" applyFill="1" applyBorder="1" applyProtection="1">
      <protection hidden="1"/>
    </xf>
    <xf numFmtId="10" fontId="0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0" applyFont="1" applyAlignment="1" applyProtection="1">
      <alignment wrapText="1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left" vertical="center" wrapText="1"/>
      <protection hidden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552450</xdr:colOff>
      <xdr:row>6</xdr:row>
      <xdr:rowOff>136382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8BCFAE34-3DAE-461D-9CAC-E3D873F6BB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382252"/>
        </a:xfrm>
        <a:prstGeom prst="rect">
          <a:avLst/>
        </a:prstGeom>
      </xdr:spPr>
    </xdr:pic>
    <xdr:clientData/>
  </xdr:twoCellAnchor>
  <xdr:twoCellAnchor>
    <xdr:from>
      <xdr:col>0</xdr:col>
      <xdr:colOff>1362075</xdr:colOff>
      <xdr:row>0</xdr:row>
      <xdr:rowOff>0</xdr:rowOff>
    </xdr:from>
    <xdr:to>
      <xdr:col>8</xdr:col>
      <xdr:colOff>428625</xdr:colOff>
      <xdr:row>5</xdr:row>
      <xdr:rowOff>94615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5A53EDB2-7E16-4E70-ADA6-D0672855F940}"/>
            </a:ext>
          </a:extLst>
        </xdr:cNvPr>
        <xdr:cNvSpPr txBox="1"/>
      </xdr:nvSpPr>
      <xdr:spPr>
        <a:xfrm>
          <a:off x="1362075" y="0"/>
          <a:ext cx="4857750" cy="11518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l"/>
          <a:r>
            <a:rPr lang="ru-RU" sz="2800" b="1" baseline="0">
              <a:solidFill>
                <a:srgbClr val="225480"/>
              </a:solidFill>
            </a:rPr>
            <a:t>Биологическая потребность в фосфоре для свиней </a:t>
          </a:r>
          <a:r>
            <a:rPr lang="en-US" sz="2800" b="1" baseline="0">
              <a:solidFill>
                <a:srgbClr val="225480"/>
              </a:solidFill>
            </a:rPr>
            <a:t>PIC </a:t>
          </a:r>
          <a:endParaRPr lang="en-US" sz="2800" b="1">
            <a:solidFill>
              <a:srgbClr val="225480"/>
            </a:solidFill>
          </a:endParaRPr>
        </a:p>
      </xdr:txBody>
    </xdr:sp>
    <xdr:clientData/>
  </xdr:twoCellAnchor>
  <xdr:oneCellAnchor>
    <xdr:from>
      <xdr:col>0</xdr:col>
      <xdr:colOff>360045</xdr:colOff>
      <xdr:row>7</xdr:row>
      <xdr:rowOff>74295</xdr:rowOff>
    </xdr:from>
    <xdr:ext cx="7945755" cy="8201348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5BA7DF8C-6596-42AD-93B5-9EEA6FD7091A}"/>
            </a:ext>
          </a:extLst>
        </xdr:cNvPr>
        <xdr:cNvSpPr txBox="1"/>
      </xdr:nvSpPr>
      <xdr:spPr>
        <a:xfrm>
          <a:off x="360045" y="1503045"/>
          <a:ext cx="7945755" cy="8201348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ru-RU" sz="14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Руководство</a:t>
          </a:r>
          <a:r>
            <a:rPr lang="ru-RU" sz="1400" b="1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пользователя</a:t>
          </a:r>
          <a:r>
            <a:rPr lang="en-US" sz="1400" b="1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:</a:t>
          </a:r>
        </a:p>
        <a:p>
          <a:endParaRPr lang="en-US" sz="1400" b="1" i="0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</a:t>
          </a:r>
          <a:r>
            <a:rPr lang="ru-RU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Выберите</a:t>
          </a:r>
          <a:r>
            <a:rPr lang="ru-RU" sz="14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следующие варианты</a:t>
          </a: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:</a:t>
          </a:r>
          <a:endParaRPr lang="en-US" sz="1400"/>
        </a:p>
        <a:p>
          <a:r>
            <a:rPr lang="ru-RU" sz="1400"/>
            <a:t>Для</a:t>
          </a:r>
          <a:r>
            <a:rPr lang="ru-RU" sz="1400" baseline="0"/>
            <a:t> расчёта </a:t>
          </a:r>
          <a:r>
            <a:rPr lang="ru-RU" sz="1400"/>
            <a:t> стандартизированного перевариваемого фосфора  (</a:t>
          </a:r>
          <a:r>
            <a:rPr lang="en-US" sz="1400"/>
            <a:t>STTD </a:t>
          </a:r>
          <a:r>
            <a:rPr lang="ru-RU" sz="1400"/>
            <a:t>Ф</a:t>
          </a:r>
          <a:r>
            <a:rPr lang="en-US" sz="1400"/>
            <a:t>) </a:t>
          </a:r>
          <a:r>
            <a:rPr lang="ru-RU" sz="1400"/>
            <a:t>с метрической системой на основе обменной энергии перейдите на вкладку </a:t>
          </a:r>
          <a:r>
            <a:rPr lang="en-US" sz="1400"/>
            <a:t>STTD </a:t>
          </a:r>
          <a:r>
            <a:rPr lang="ru-RU" sz="1400"/>
            <a:t>Ф</a:t>
          </a:r>
          <a:r>
            <a:rPr lang="en-US" sz="1400"/>
            <a:t> </a:t>
          </a:r>
          <a:r>
            <a:rPr lang="ru-RU" sz="1400"/>
            <a:t>метрика</a:t>
          </a:r>
          <a:r>
            <a:rPr lang="en-US" sz="1400"/>
            <a:t> - </a:t>
          </a:r>
          <a:r>
            <a:rPr lang="ru-RU" sz="1400"/>
            <a:t>ОЭ</a:t>
          </a:r>
          <a:r>
            <a:rPr lang="en-US" sz="1400"/>
            <a:t>.</a:t>
          </a:r>
          <a:endParaRPr lang="ru-RU" sz="1400"/>
        </a:p>
        <a:p>
          <a:r>
            <a:rPr lang="ru-RU" sz="1400"/>
            <a:t>Для</a:t>
          </a:r>
          <a:r>
            <a:rPr lang="ru-RU" sz="1400" baseline="0"/>
            <a:t> расчёта </a:t>
          </a:r>
          <a:r>
            <a:rPr lang="ru-RU" sz="1400"/>
            <a:t> доступного фосфора (Доступный Ф</a:t>
          </a:r>
          <a:r>
            <a:rPr lang="en-US" sz="1400"/>
            <a:t>) </a:t>
          </a:r>
          <a:r>
            <a:rPr lang="ru-RU" sz="1400"/>
            <a:t>в метрической системе на основе обменной энергии, перейдите на вкладку Доступный фосфор Ф</a:t>
          </a:r>
          <a:r>
            <a:rPr lang="en-US" sz="1400"/>
            <a:t> - </a:t>
          </a:r>
          <a:r>
            <a:rPr lang="ru-RU" sz="1400"/>
            <a:t>ОЭ</a:t>
          </a:r>
          <a:r>
            <a:rPr lang="en-US" sz="1400"/>
            <a:t>.</a:t>
          </a:r>
        </a:p>
        <a:p>
          <a:endParaRPr lang="en-US" sz="1400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Введите исходные параметры в ячейки выделенные желтым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: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Введите желаемый диапазон массы тела для каждой фазы кормления.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	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Введите свой текущий уровень энергии в рационе для каждой фазы кормления</a:t>
          </a:r>
          <a:endParaRPr lang="en-US" sz="1400" b="1"/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Результаты</a:t>
          </a:r>
          <a:r>
            <a:rPr kumimoji="0" lang="en-U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4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3.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Калькулятор рассчитывает потребности в стандартном перевариваемом (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STTD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Ф) и доступном фосфоре согласно рекомендуемого уровня 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PIC 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для товарных свиней без разделения по полу, ремонтных свинок,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хряков различных производственных групп,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 том числе и производителей в соответствии с выбранным диапазоном их массы тела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.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4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. Если введен уровень энергии, инструмент рассчитывает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STTD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Ф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и доступный фосфор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необходимый свиньям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PIC,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 процентах от рациона.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Примечание: Используйте рекомендации по фосфору для товарных кабанов за 3-4 недели до выхода на реализацию, в случае использования имуннокастрации руководствуйтесь рекомендациями по фосфору для хряков.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Дополнительная информация</a:t>
          </a:r>
          <a:r>
            <a:rPr kumimoji="0" lang="en-U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: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 В партнерстве с Университетом штата Канзас в коммерческих условиях были проведены два испытания с участием 1134 свиней смешанного пола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PIC,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каждое из которых определило требования к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STTD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Ф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для свиней весом от 11 до 131 (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Vier et al., 2019a, b).</a:t>
          </a:r>
          <a:endParaRPr kumimoji="0" lang="ru-RU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 Оценки потребностей были разработаны для свиней смешанного пола (кабанов и свинок),  потребности товарных кабанов и свинок и коммерческих хряков были оценены на основе ожидаемых различий в соответствии с кривой роста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PIC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337.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 Оценки потребностей для выращивания ремонтных свинок и хряков-производителей на 8% превышают требования  по отношению к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товарным свиньям и хрякам для максимальной минерализации костей.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Рекомендуемые уровни содержания фосфора рассчитаны как 86% от рекомендаций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STTD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Ф.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Энергетическая составляющая  состава рациона основана на  данных базы </a:t>
          </a:r>
          <a:r>
            <a:rPr kumimoji="0" lang="en-US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NRC (2012).</a:t>
          </a:r>
          <a:r>
            <a:rPr kumimoji="0" lang="ru-RU" sz="14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         </a:t>
          </a:r>
          <a:endParaRPr kumimoji="0" lang="en-US" sz="14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ru-RU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По любым возникающим вопросам обращайтесь</a:t>
          </a:r>
          <a:r>
            <a:rPr kumimoji="0" lang="en-U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</a:t>
          </a:r>
          <a:r>
            <a:rPr kumimoji="0" lang="ru-RU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в техническую службу </a:t>
          </a:r>
          <a:r>
            <a:rPr kumimoji="0" lang="en-U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PIC</a:t>
          </a:r>
          <a:r>
            <a:rPr kumimoji="0" lang="ru-RU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 Россия</a:t>
          </a:r>
          <a:r>
            <a:rPr kumimoji="0" lang="en-US" sz="14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+mn-lt"/>
              <a:ea typeface="+mn-ea"/>
              <a:cs typeface="+mn-cs"/>
            </a:rPr>
            <a:t>.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sz="14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114300</xdr:rowOff>
    </xdr:from>
    <xdr:to>
      <xdr:col>11</xdr:col>
      <xdr:colOff>163512</xdr:colOff>
      <xdr:row>0</xdr:row>
      <xdr:rowOff>1502267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A68D1E8-8EC4-4192-B1BE-1B37BF73D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14300"/>
          <a:ext cx="8031162" cy="1387967"/>
        </a:xfrm>
        <a:prstGeom prst="rect">
          <a:avLst/>
        </a:prstGeom>
      </xdr:spPr>
    </xdr:pic>
    <xdr:clientData/>
  </xdr:twoCellAnchor>
  <xdr:twoCellAnchor>
    <xdr:from>
      <xdr:col>1</xdr:col>
      <xdr:colOff>840104</xdr:colOff>
      <xdr:row>0</xdr:row>
      <xdr:rowOff>0</xdr:rowOff>
    </xdr:from>
    <xdr:to>
      <xdr:col>8</xdr:col>
      <xdr:colOff>14921</xdr:colOff>
      <xdr:row>0</xdr:row>
      <xdr:rowOff>1162685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E658E98-F515-44C8-A66E-105FFE756899}"/>
            </a:ext>
          </a:extLst>
        </xdr:cNvPr>
        <xdr:cNvSpPr txBox="1"/>
      </xdr:nvSpPr>
      <xdr:spPr>
        <a:xfrm>
          <a:off x="1449704" y="0"/>
          <a:ext cx="4877117" cy="11626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l"/>
          <a:r>
            <a:rPr lang="ru-RU" sz="2000" b="1" baseline="0">
              <a:solidFill>
                <a:srgbClr val="225480"/>
              </a:solidFill>
            </a:rPr>
            <a:t>Биологические потребности в стандартном перевариваемом фосфоре  для </a:t>
          </a:r>
          <a:r>
            <a:rPr lang="en-US" sz="2000" b="1" baseline="0">
              <a:solidFill>
                <a:srgbClr val="225480"/>
              </a:solidFill>
            </a:rPr>
            <a:t> </a:t>
          </a:r>
          <a:r>
            <a:rPr lang="ru-RU" sz="2000" b="1" baseline="0">
              <a:solidFill>
                <a:srgbClr val="225480"/>
              </a:solidFill>
            </a:rPr>
            <a:t>свиней</a:t>
          </a:r>
          <a:r>
            <a:rPr lang="en-US" sz="2000" b="1" baseline="0">
              <a:solidFill>
                <a:srgbClr val="225480"/>
              </a:solidFill>
            </a:rPr>
            <a:t> PIC </a:t>
          </a:r>
          <a:r>
            <a:rPr lang="el-GR" sz="2000" b="1" baseline="30000">
              <a:solidFill>
                <a:srgbClr val="225480"/>
              </a:solidFill>
            </a:rPr>
            <a:t>α</a:t>
          </a:r>
          <a:endParaRPr lang="en-US" sz="2000" b="1" baseline="30000">
            <a:solidFill>
              <a:srgbClr val="22548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20637</xdr:colOff>
      <xdr:row>0</xdr:row>
      <xdr:rowOff>1387967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97A10B-652C-4BE6-BB1E-45F302ACAC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2137" cy="1387967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0</xdr:row>
      <xdr:rowOff>0</xdr:rowOff>
    </xdr:from>
    <xdr:to>
      <xdr:col>8</xdr:col>
      <xdr:colOff>152401</xdr:colOff>
      <xdr:row>0</xdr:row>
      <xdr:rowOff>1162685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3E837E7-1A8F-40DF-84DB-EDD369EA799D}"/>
            </a:ext>
          </a:extLst>
        </xdr:cNvPr>
        <xdr:cNvSpPr txBox="1"/>
      </xdr:nvSpPr>
      <xdr:spPr>
        <a:xfrm>
          <a:off x="1266826" y="0"/>
          <a:ext cx="4991100" cy="11626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algn="l"/>
          <a:r>
            <a:rPr lang="ru-RU" sz="2400" b="1" baseline="0">
              <a:solidFill>
                <a:srgbClr val="225480"/>
              </a:solidFill>
            </a:rPr>
            <a:t>Биологические потребности в доступном фосфоре для свиней</a:t>
          </a:r>
          <a:r>
            <a:rPr lang="en-US" sz="2400" b="1" baseline="0">
              <a:solidFill>
                <a:srgbClr val="225480"/>
              </a:solidFill>
            </a:rPr>
            <a:t> PIC</a:t>
          </a:r>
          <a:r>
            <a:rPr lang="el-GR" sz="2400" b="1" baseline="30000">
              <a:solidFill>
                <a:srgbClr val="225480"/>
              </a:solidFill>
            </a:rPr>
            <a:t>α</a:t>
          </a:r>
          <a:endParaRPr lang="en-US" sz="2400" b="1" baseline="30000">
            <a:solidFill>
              <a:srgbClr val="22548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"/>
  <sheetViews>
    <sheetView showGridLines="0" showRowColHeaders="0" zoomScaleNormal="100" workbookViewId="0">
      <selection activeCell="O22" sqref="O22"/>
    </sheetView>
  </sheetViews>
  <sheetFormatPr defaultRowHeight="15" x14ac:dyDescent="0.25"/>
  <cols>
    <col min="1" max="1" width="22.42578125" bestFit="1" customWidth="1"/>
    <col min="2" max="6" width="8.85546875" style="1"/>
  </cols>
  <sheetData>
    <row r="1" spans="2:6" s="7" customFormat="1" ht="24" customHeight="1" x14ac:dyDescent="0.25">
      <c r="B1" s="6"/>
      <c r="C1" s="6"/>
      <c r="D1" s="6"/>
      <c r="E1" s="6"/>
      <c r="F1" s="6"/>
    </row>
    <row r="2" spans="2:6" s="7" customFormat="1" ht="24" customHeight="1" x14ac:dyDescent="0.25">
      <c r="B2" s="6"/>
      <c r="C2" s="6"/>
      <c r="D2" s="6"/>
      <c r="E2" s="6"/>
      <c r="F2" s="6"/>
    </row>
    <row r="3" spans="2:6" s="7" customFormat="1" ht="10.35" customHeight="1" x14ac:dyDescent="0.25">
      <c r="B3" s="6"/>
      <c r="C3" s="6"/>
      <c r="D3" s="6"/>
      <c r="E3" s="6"/>
      <c r="F3" s="6"/>
    </row>
    <row r="4" spans="2:6" s="7" customFormat="1" ht="10.35" customHeight="1" x14ac:dyDescent="0.25">
      <c r="B4" s="6"/>
      <c r="C4" s="6"/>
      <c r="D4" s="6"/>
      <c r="E4" s="6"/>
      <c r="F4" s="6"/>
    </row>
    <row r="5" spans="2:6" x14ac:dyDescent="0.25">
      <c r="B5" s="3"/>
    </row>
  </sheetData>
  <sheetProtection algorithmName="SHA-512" hashValue="uoD1p0JBkiTy+VGd4bRNmF7aK7gHGFS9dyi5pH/F/U0iiSfnAZqXjuFHnA3tVG8zGsClW/t8oRj5nWnS78wvVg==" saltValue="h/z0BkJ0ScMeLlmj7ujMlg==" spinCount="100000" sheet="1" objects="1" scenario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36"/>
  <sheetViews>
    <sheetView showGridLines="0" showRowColHeaders="0" zoomScaleNormal="100" workbookViewId="0">
      <selection activeCell="C2" sqref="C2:H5"/>
    </sheetView>
  </sheetViews>
  <sheetFormatPr defaultColWidth="8.85546875" defaultRowHeight="15" x14ac:dyDescent="0.25"/>
  <cols>
    <col min="1" max="1" width="8.85546875" style="8"/>
    <col min="2" max="2" width="27" style="8" customWidth="1"/>
    <col min="3" max="7" width="9.42578125" style="9" customWidth="1"/>
    <col min="8" max="10" width="9.42578125" style="8" customWidth="1"/>
    <col min="11" max="16384" width="8.85546875" style="8"/>
  </cols>
  <sheetData>
    <row r="1" spans="2:12" s="16" customFormat="1" ht="122.1" customHeight="1" x14ac:dyDescent="0.25">
      <c r="C1" s="17"/>
      <c r="D1" s="17"/>
      <c r="E1" s="17"/>
      <c r="F1" s="17"/>
      <c r="G1" s="17"/>
    </row>
    <row r="2" spans="2:12" ht="30" x14ac:dyDescent="0.25">
      <c r="B2" s="24" t="s">
        <v>13</v>
      </c>
      <c r="C2" s="2">
        <v>3000</v>
      </c>
      <c r="D2" s="2">
        <v>3000</v>
      </c>
      <c r="E2" s="2">
        <v>3000</v>
      </c>
      <c r="F2" s="2">
        <v>3000</v>
      </c>
      <c r="G2" s="2">
        <v>3000</v>
      </c>
      <c r="H2" s="2">
        <v>3000</v>
      </c>
      <c r="I2" s="2"/>
      <c r="J2" s="2"/>
    </row>
    <row r="3" spans="2:12" hidden="1" x14ac:dyDescent="0.25">
      <c r="B3" s="10"/>
      <c r="H3" s="9"/>
    </row>
    <row r="4" spans="2:12" x14ac:dyDescent="0.25">
      <c r="B4" s="10" t="s">
        <v>14</v>
      </c>
      <c r="C4" s="2">
        <v>11</v>
      </c>
      <c r="D4" s="2">
        <f>C5</f>
        <v>23</v>
      </c>
      <c r="E4" s="2">
        <f t="shared" ref="E4:H4" si="0">D5</f>
        <v>41</v>
      </c>
      <c r="F4" s="2">
        <f t="shared" si="0"/>
        <v>59</v>
      </c>
      <c r="G4" s="2">
        <f t="shared" si="0"/>
        <v>82</v>
      </c>
      <c r="H4" s="2">
        <f t="shared" si="0"/>
        <v>104</v>
      </c>
      <c r="I4" s="2"/>
      <c r="J4" s="2"/>
      <c r="L4" s="20"/>
    </row>
    <row r="5" spans="2:12" x14ac:dyDescent="0.25">
      <c r="B5" s="10" t="s">
        <v>15</v>
      </c>
      <c r="C5" s="2">
        <v>23</v>
      </c>
      <c r="D5" s="2">
        <v>41</v>
      </c>
      <c r="E5" s="2">
        <v>59</v>
      </c>
      <c r="F5" s="2">
        <v>82</v>
      </c>
      <c r="G5" s="2">
        <v>104</v>
      </c>
      <c r="H5" s="2">
        <v>129</v>
      </c>
      <c r="I5" s="2"/>
      <c r="J5" s="2"/>
      <c r="L5" s="21"/>
    </row>
    <row r="6" spans="2:12" x14ac:dyDescent="0.25">
      <c r="H6" s="9"/>
    </row>
    <row r="7" spans="2:12" hidden="1" x14ac:dyDescent="0.25">
      <c r="B7" s="8" t="s">
        <v>3</v>
      </c>
      <c r="C7" s="11">
        <f>IF(C4&gt;0,CONVERT(C4*1000,"g","lbm")," ")</f>
        <v>24.250848840336534</v>
      </c>
      <c r="D7" s="11">
        <f t="shared" ref="D7:J7" si="1">IF(D4&gt;0,CONVERT(D4*1000,"g","lbm")," ")</f>
        <v>50.706320302521839</v>
      </c>
      <c r="E7" s="11">
        <f t="shared" si="1"/>
        <v>90.389527495799811</v>
      </c>
      <c r="F7" s="11">
        <f t="shared" si="1"/>
        <v>130.07273468907778</v>
      </c>
      <c r="G7" s="11">
        <f t="shared" si="1"/>
        <v>180.77905499159962</v>
      </c>
      <c r="H7" s="11">
        <f t="shared" si="1"/>
        <v>229.28075267227268</v>
      </c>
      <c r="I7" s="11" t="str">
        <f t="shared" si="1"/>
        <v xml:space="preserve"> </v>
      </c>
      <c r="J7" s="11" t="str">
        <f t="shared" si="1"/>
        <v xml:space="preserve"> </v>
      </c>
    </row>
    <row r="8" spans="2:12" hidden="1" x14ac:dyDescent="0.25">
      <c r="B8" s="8" t="s">
        <v>2</v>
      </c>
      <c r="C8" s="11">
        <f>IF(C5&gt;0,CONVERT(C5*1000,"g","lbm")," ")</f>
        <v>50.706320302521839</v>
      </c>
      <c r="D8" s="11">
        <f t="shared" ref="D8:J8" si="2">IF(D5&gt;0,CONVERT(D5*1000,"g","lbm")," ")</f>
        <v>90.389527495799811</v>
      </c>
      <c r="E8" s="11">
        <f t="shared" si="2"/>
        <v>130.07273468907778</v>
      </c>
      <c r="F8" s="11">
        <f t="shared" si="2"/>
        <v>180.77905499159962</v>
      </c>
      <c r="G8" s="11">
        <f t="shared" si="2"/>
        <v>229.28075267227268</v>
      </c>
      <c r="H8" s="11">
        <f t="shared" si="2"/>
        <v>284.39631821849207</v>
      </c>
      <c r="I8" s="11" t="str">
        <f t="shared" si="2"/>
        <v xml:space="preserve"> </v>
      </c>
      <c r="J8" s="11" t="str">
        <f t="shared" si="2"/>
        <v xml:space="preserve"> </v>
      </c>
    </row>
    <row r="9" spans="2:12" hidden="1" x14ac:dyDescent="0.25">
      <c r="C9" s="12">
        <f>IFERROR(IF(C7&gt;0,AVERAGE(C7:C8)," "),"")</f>
        <v>37.478584571429188</v>
      </c>
      <c r="D9" s="12">
        <f t="shared" ref="D9:J9" si="3">IFERROR(IF(D7&gt;0,AVERAGE(D7:D8)," "),"")</f>
        <v>70.547923899160821</v>
      </c>
      <c r="E9" s="12">
        <f t="shared" si="3"/>
        <v>110.2311310924388</v>
      </c>
      <c r="F9" s="12">
        <f t="shared" si="3"/>
        <v>155.42589484033869</v>
      </c>
      <c r="G9" s="12">
        <f t="shared" si="3"/>
        <v>205.02990383193617</v>
      </c>
      <c r="H9" s="12">
        <f t="shared" si="3"/>
        <v>256.83853544538238</v>
      </c>
      <c r="I9" s="12" t="str">
        <f t="shared" si="3"/>
        <v/>
      </c>
      <c r="J9" s="12" t="str">
        <f t="shared" si="3"/>
        <v/>
      </c>
    </row>
    <row r="10" spans="2:12" hidden="1" x14ac:dyDescent="0.25">
      <c r="C10" s="12"/>
      <c r="D10" s="12"/>
      <c r="E10" s="12"/>
      <c r="F10" s="12"/>
      <c r="G10" s="13"/>
      <c r="H10" s="14"/>
      <c r="J10" s="15"/>
    </row>
    <row r="11" spans="2:12" hidden="1" x14ac:dyDescent="0.25">
      <c r="B11" s="8" t="s">
        <v>0</v>
      </c>
      <c r="C11" s="11">
        <f>IF(C4&gt;0,C4," ")</f>
        <v>11</v>
      </c>
      <c r="D11" s="11">
        <f t="shared" ref="D11:H11" si="4">IF(D4&gt;0,D4," ")</f>
        <v>23</v>
      </c>
      <c r="E11" s="11">
        <f t="shared" si="4"/>
        <v>41</v>
      </c>
      <c r="F11" s="11">
        <f t="shared" si="4"/>
        <v>59</v>
      </c>
      <c r="G11" s="11">
        <f t="shared" si="4"/>
        <v>82</v>
      </c>
      <c r="H11" s="11">
        <f t="shared" si="4"/>
        <v>104</v>
      </c>
      <c r="I11" s="11" t="str">
        <f t="shared" ref="I11:J11" si="5">IF(I4&gt;0,I4," ")</f>
        <v xml:space="preserve"> </v>
      </c>
      <c r="J11" s="11" t="str">
        <f t="shared" si="5"/>
        <v xml:space="preserve"> </v>
      </c>
    </row>
    <row r="12" spans="2:12" hidden="1" x14ac:dyDescent="0.25">
      <c r="B12" s="8" t="s">
        <v>1</v>
      </c>
      <c r="C12" s="11">
        <f>IF(C5&gt;0,C5," ")</f>
        <v>23</v>
      </c>
      <c r="D12" s="11">
        <f t="shared" ref="D12:H12" si="6">IF(D5&gt;0,D5," ")</f>
        <v>41</v>
      </c>
      <c r="E12" s="11">
        <f t="shared" si="6"/>
        <v>59</v>
      </c>
      <c r="F12" s="11">
        <f t="shared" si="6"/>
        <v>82</v>
      </c>
      <c r="G12" s="11">
        <f t="shared" si="6"/>
        <v>104</v>
      </c>
      <c r="H12" s="11">
        <f t="shared" si="6"/>
        <v>129</v>
      </c>
      <c r="I12" s="11" t="str">
        <f t="shared" ref="I12:J12" si="7">IF(I5&gt;0,I5," ")</f>
        <v xml:space="preserve"> </v>
      </c>
      <c r="J12" s="11" t="str">
        <f t="shared" si="7"/>
        <v xml:space="preserve"> </v>
      </c>
    </row>
    <row r="13" spans="2:12" hidden="1" x14ac:dyDescent="0.25">
      <c r="C13" s="12">
        <f>IFERROR(IF(C11&gt;0,AVERAGE(C11:C12)," "),"")</f>
        <v>17</v>
      </c>
      <c r="D13" s="12">
        <f t="shared" ref="D13:J13" si="8">IFERROR(IF(D11&gt;0,AVERAGE(D11:D12)," "),"")</f>
        <v>32</v>
      </c>
      <c r="E13" s="12">
        <f t="shared" si="8"/>
        <v>50</v>
      </c>
      <c r="F13" s="12">
        <f t="shared" si="8"/>
        <v>70.5</v>
      </c>
      <c r="G13" s="12">
        <f t="shared" si="8"/>
        <v>93</v>
      </c>
      <c r="H13" s="12">
        <f t="shared" si="8"/>
        <v>116.5</v>
      </c>
      <c r="I13" s="12" t="str">
        <f t="shared" si="8"/>
        <v/>
      </c>
      <c r="J13" s="12" t="str">
        <f t="shared" si="8"/>
        <v/>
      </c>
    </row>
    <row r="14" spans="2:12" hidden="1" x14ac:dyDescent="0.25">
      <c r="C14" s="12"/>
      <c r="D14" s="12"/>
      <c r="E14" s="12"/>
      <c r="F14" s="12"/>
      <c r="G14" s="13"/>
      <c r="H14" s="14"/>
      <c r="J14" s="15"/>
    </row>
    <row r="15" spans="2:12" x14ac:dyDescent="0.25">
      <c r="B15" s="10" t="s">
        <v>18</v>
      </c>
      <c r="G15" s="14"/>
      <c r="H15" s="14"/>
      <c r="J15" s="15"/>
    </row>
    <row r="16" spans="2:12" s="21" customFormat="1" x14ac:dyDescent="0.25">
      <c r="B16" s="8" t="s">
        <v>16</v>
      </c>
      <c r="C16" s="4">
        <f>IFERROR(IF(AND(C4&gt;0,C13&lt;40),C19,C19+(-(-0.0000000031*C13^4+0.0000013234*C13^3-0.0002087068*C13^2+0.0142221655*C13-0.3126825057)*C19)),"")</f>
        <v>1.3213077181615109</v>
      </c>
      <c r="D16" s="4">
        <f t="shared" ref="D16:J16" si="9">IFERROR(IF(AND(D4&gt;0,D13&lt;40),D19,D19+(-(-0.0000000031*D13^4+0.0000013234*D13^3-0.0002087068*D13^2+0.0142221655*D13-0.3126825057)*D19)),"")</f>
        <v>1.1988530941699584</v>
      </c>
      <c r="E16" s="4">
        <f t="shared" si="9"/>
        <v>1.0457992926789739</v>
      </c>
      <c r="F16" s="4">
        <f t="shared" si="9"/>
        <v>0.90992312380910056</v>
      </c>
      <c r="G16" s="4">
        <f t="shared" si="9"/>
        <v>0.81128087193218479</v>
      </c>
      <c r="H16" s="4">
        <f t="shared" si="9"/>
        <v>0.74118987177356654</v>
      </c>
      <c r="I16" s="4" t="str">
        <f t="shared" si="9"/>
        <v/>
      </c>
      <c r="J16" s="4" t="str">
        <f t="shared" si="9"/>
        <v/>
      </c>
    </row>
    <row r="17" spans="2:10" s="21" customFormat="1" x14ac:dyDescent="0.25">
      <c r="B17" s="8" t="s">
        <v>17</v>
      </c>
      <c r="C17" s="4">
        <f>IFERROR(IF(AND(C4&gt;0,C13&lt;40),C19,C19+((-0.0000000031*C13^4+0.0000013234*C13^3-0.0002087068*C13^2+0.0142221655*C13-0.3126825057)*C19)),"")</f>
        <v>1.3213077181615109</v>
      </c>
      <c r="D17" s="4">
        <f t="shared" ref="D17:J17" si="10">IFERROR(IF(AND(D4&gt;0,D13&lt;40),D19,D19+((-0.0000000031*D13^4+0.0000013234*D13^3-0.0002087068*D13^2+0.0142221655*D13-0.3126825057)*D19)),"")</f>
        <v>1.1988530941699584</v>
      </c>
      <c r="E17" s="4">
        <f>IFERROR(IF(AND(E4&gt;0,E13&lt;40),E19,E19+((-0.0000000031*E13^4+0.0000013234*E13^3-0.0002087068*E13^2+0.0142221655*E13-0.3126825057)*E19)),"")</f>
        <v>1.0944005982581502</v>
      </c>
      <c r="F17" s="4">
        <f t="shared" si="10"/>
        <v>0.9853503249506752</v>
      </c>
      <c r="G17" s="4">
        <f t="shared" si="10"/>
        <v>0.87443399349910178</v>
      </c>
      <c r="H17" s="4">
        <f t="shared" si="10"/>
        <v>0.79186813152686142</v>
      </c>
      <c r="I17" s="4" t="str">
        <f t="shared" si="10"/>
        <v/>
      </c>
      <c r="J17" s="4" t="str">
        <f t="shared" si="10"/>
        <v/>
      </c>
    </row>
    <row r="18" spans="2:10" s="21" customFormat="1" x14ac:dyDescent="0.25">
      <c r="B18" s="21" t="s">
        <v>19</v>
      </c>
      <c r="C18" s="5">
        <f>IF(C4&gt;0,(IF(C12&lt;30,C17,C17+((-0.0000000019*(C13^4)+0.0000007208*(C13^3)-0.0000963713*(C13^2)+0.0050363106*C13-0.0486016916)*C17))),"")</f>
        <v>1.3213077181615109</v>
      </c>
      <c r="D18" s="5">
        <f t="shared" ref="D18:J18" si="11">IF(D4&gt;0,(IF(D12&lt;30,D17,D17+((-0.0000000019*(D13^4)+0.0000007208*(D13^3)-0.0000963713*(D13^2)+0.0050363106*D13-0.0486016916)*D17))),"")</f>
        <v>1.2414158753481559</v>
      </c>
      <c r="E18" s="5">
        <f t="shared" si="11"/>
        <v>1.1387354104388998</v>
      </c>
      <c r="F18" s="5">
        <f t="shared" si="11"/>
        <v>1.0179679159645965</v>
      </c>
      <c r="G18" s="5">
        <f t="shared" si="11"/>
        <v>0.89534211619592519</v>
      </c>
      <c r="H18" s="5">
        <f t="shared" si="11"/>
        <v>0.80760020535631627</v>
      </c>
      <c r="I18" s="5" t="str">
        <f t="shared" si="11"/>
        <v/>
      </c>
      <c r="J18" s="5" t="str">
        <f t="shared" si="11"/>
        <v/>
      </c>
    </row>
    <row r="19" spans="2:10" s="21" customFormat="1" x14ac:dyDescent="0.25">
      <c r="B19" s="8" t="s">
        <v>21</v>
      </c>
      <c r="C19" s="4">
        <f>IF(C4&gt;0,(0.0000306269361758696*(C13^2) - 0.00966436147205444*(C13) +1.47675067863161)," ")</f>
        <v>1.3213077181615109</v>
      </c>
      <c r="D19" s="4">
        <f t="shared" ref="D19:J19" si="12">IF(D4&gt;0,(0.0000306269361758696*(D13^2) - 0.00966436147205444*(D13) +1.47675067863161)," ")</f>
        <v>1.1988530941699584</v>
      </c>
      <c r="E19" s="4">
        <f t="shared" si="12"/>
        <v>1.070099945468562</v>
      </c>
      <c r="F19" s="4">
        <f t="shared" si="12"/>
        <v>0.94763672437988788</v>
      </c>
      <c r="G19" s="4">
        <f t="shared" si="12"/>
        <v>0.84285743271564328</v>
      </c>
      <c r="H19" s="4">
        <f t="shared" si="12"/>
        <v>0.76652900165021398</v>
      </c>
      <c r="I19" s="4" t="str">
        <f t="shared" si="12"/>
        <v xml:space="preserve"> </v>
      </c>
      <c r="J19" s="4" t="str">
        <f t="shared" si="12"/>
        <v xml:space="preserve"> </v>
      </c>
    </row>
    <row r="20" spans="2:10" s="21" customFormat="1" x14ac:dyDescent="0.25">
      <c r="B20" s="8" t="s">
        <v>20</v>
      </c>
      <c r="C20" s="4">
        <f>IFERROR(C17*1.08,"")</f>
        <v>1.427012335614432</v>
      </c>
      <c r="D20" s="4">
        <f t="shared" ref="D20:J20" si="13">IFERROR(D17*1.08,"")</f>
        <v>1.2947613417035553</v>
      </c>
      <c r="E20" s="4">
        <f t="shared" si="13"/>
        <v>1.1819526461188024</v>
      </c>
      <c r="F20" s="4">
        <f t="shared" si="13"/>
        <v>1.0641783509467293</v>
      </c>
      <c r="G20" s="4">
        <f t="shared" si="13"/>
        <v>0.94438871297902993</v>
      </c>
      <c r="H20" s="4">
        <f t="shared" si="13"/>
        <v>0.85521758204901044</v>
      </c>
      <c r="I20" s="4" t="str">
        <f t="shared" si="13"/>
        <v/>
      </c>
      <c r="J20" s="4" t="str">
        <f t="shared" si="13"/>
        <v/>
      </c>
    </row>
    <row r="21" spans="2:10" s="21" customFormat="1" hidden="1" x14ac:dyDescent="0.25">
      <c r="B21" s="8" t="s">
        <v>10</v>
      </c>
      <c r="C21" s="4">
        <f>IFERROR(C18*1.08*1.2,"")</f>
        <v>1.7124148027373183</v>
      </c>
      <c r="D21" s="4">
        <f t="shared" ref="D21:J21" si="14">IFERROR(D18*1.08*1.2,"")</f>
        <v>1.6088749744512101</v>
      </c>
      <c r="E21" s="4">
        <f t="shared" si="14"/>
        <v>1.4758010919288143</v>
      </c>
      <c r="F21" s="4">
        <f t="shared" si="14"/>
        <v>1.319286419090117</v>
      </c>
      <c r="G21" s="4">
        <f t="shared" si="14"/>
        <v>1.1603633825899191</v>
      </c>
      <c r="H21" s="4">
        <f t="shared" si="14"/>
        <v>1.0466498661417858</v>
      </c>
      <c r="I21" s="4" t="str">
        <f t="shared" si="14"/>
        <v/>
      </c>
      <c r="J21" s="4" t="str">
        <f t="shared" si="14"/>
        <v/>
      </c>
    </row>
    <row r="22" spans="2:10" s="21" customFormat="1" x14ac:dyDescent="0.25">
      <c r="B22" s="8"/>
      <c r="C22" s="14"/>
      <c r="D22" s="14"/>
      <c r="E22" s="14"/>
      <c r="F22" s="14"/>
      <c r="G22" s="14"/>
    </row>
    <row r="23" spans="2:10" s="21" customFormat="1" x14ac:dyDescent="0.25">
      <c r="B23" s="10" t="s">
        <v>22</v>
      </c>
      <c r="C23" s="14"/>
      <c r="D23" s="14"/>
      <c r="E23" s="14"/>
      <c r="F23" s="14"/>
      <c r="G23" s="14"/>
      <c r="H23" s="14"/>
      <c r="J23" s="22"/>
    </row>
    <row r="24" spans="2:10" s="21" customFormat="1" x14ac:dyDescent="0.25">
      <c r="B24" s="8" t="s">
        <v>16</v>
      </c>
      <c r="C24" s="4">
        <f>IF(C$2&gt;0,(C16*(C$2)/10000)," ")</f>
        <v>0.39639231544845327</v>
      </c>
      <c r="D24" s="4">
        <f t="shared" ref="D24:I24" si="15">IF(D$2&gt;0,(D16*(D$2)/10000)," ")</f>
        <v>0.35965592825098752</v>
      </c>
      <c r="E24" s="4">
        <f t="shared" si="15"/>
        <v>0.31373978780369216</v>
      </c>
      <c r="F24" s="4">
        <f t="shared" si="15"/>
        <v>0.27297693714273019</v>
      </c>
      <c r="G24" s="4">
        <f t="shared" si="15"/>
        <v>0.24338426157965545</v>
      </c>
      <c r="H24" s="4">
        <f t="shared" si="15"/>
        <v>0.22235696153206996</v>
      </c>
      <c r="I24" s="4" t="str">
        <f t="shared" si="15"/>
        <v xml:space="preserve"> </v>
      </c>
      <c r="J24" s="4" t="str">
        <f t="shared" ref="J24" si="16">IF(J$2&gt;0,(J16*(J$2)/10000)," ")</f>
        <v xml:space="preserve"> </v>
      </c>
    </row>
    <row r="25" spans="2:10" s="21" customFormat="1" x14ac:dyDescent="0.25">
      <c r="B25" s="8" t="s">
        <v>17</v>
      </c>
      <c r="C25" s="4">
        <f>IF(C$2&gt;0,(C17*(C$2)/10000)," ")</f>
        <v>0.39639231544845327</v>
      </c>
      <c r="D25" s="4">
        <f t="shared" ref="D25:I26" si="17">IF(D$2&gt;0,(D17*(D$2)/10000)," ")</f>
        <v>0.35965592825098752</v>
      </c>
      <c r="E25" s="4">
        <f t="shared" si="17"/>
        <v>0.32832017947744507</v>
      </c>
      <c r="F25" s="4">
        <f t="shared" si="17"/>
        <v>0.29560509748520258</v>
      </c>
      <c r="G25" s="4">
        <f t="shared" si="17"/>
        <v>0.26233019804973057</v>
      </c>
      <c r="H25" s="4">
        <f t="shared" si="17"/>
        <v>0.23756043945805841</v>
      </c>
      <c r="I25" s="4" t="str">
        <f t="shared" si="17"/>
        <v xml:space="preserve"> </v>
      </c>
      <c r="J25" s="4" t="str">
        <f t="shared" ref="J25" si="18">IF(J$2&gt;0,(J17*(J$2)/10000)," ")</f>
        <v xml:space="preserve"> </v>
      </c>
    </row>
    <row r="26" spans="2:10" s="21" customFormat="1" x14ac:dyDescent="0.25">
      <c r="B26" s="21" t="s">
        <v>19</v>
      </c>
      <c r="C26" s="4">
        <f>IF(C$2&gt;0,(C18*(C$2)/10000)," ")</f>
        <v>0.39639231544845327</v>
      </c>
      <c r="D26" s="4">
        <f t="shared" si="17"/>
        <v>0.37242476260444679</v>
      </c>
      <c r="E26" s="4">
        <f t="shared" si="17"/>
        <v>0.34162062313166991</v>
      </c>
      <c r="F26" s="4">
        <f t="shared" si="17"/>
        <v>0.30539037478937892</v>
      </c>
      <c r="G26" s="4">
        <f t="shared" si="17"/>
        <v>0.26860263485877756</v>
      </c>
      <c r="H26" s="4">
        <f t="shared" si="17"/>
        <v>0.24228006160689489</v>
      </c>
      <c r="I26" s="4" t="str">
        <f t="shared" si="17"/>
        <v xml:space="preserve"> </v>
      </c>
      <c r="J26" s="4" t="str">
        <f>IF(J$2&gt;0,(J18*(J$2)/10000)," ")</f>
        <v xml:space="preserve"> </v>
      </c>
    </row>
    <row r="27" spans="2:10" s="21" customFormat="1" x14ac:dyDescent="0.25">
      <c r="B27" s="21" t="s">
        <v>21</v>
      </c>
      <c r="C27" s="4">
        <f>IF(C$2&gt;0,(C19*(C$2)/10000)," ")</f>
        <v>0.39639231544845327</v>
      </c>
      <c r="D27" s="4">
        <f t="shared" ref="D27:I27" si="19">IF(D$2&gt;0,(D19*(D$2)/10000)," ")</f>
        <v>0.35965592825098752</v>
      </c>
      <c r="E27" s="4">
        <f t="shared" si="19"/>
        <v>0.32102998364056862</v>
      </c>
      <c r="F27" s="4">
        <f t="shared" si="19"/>
        <v>0.28429101731396633</v>
      </c>
      <c r="G27" s="4">
        <f t="shared" si="19"/>
        <v>0.252857229814693</v>
      </c>
      <c r="H27" s="4">
        <f t="shared" si="19"/>
        <v>0.2299587004950642</v>
      </c>
      <c r="I27" s="4" t="str">
        <f t="shared" si="19"/>
        <v xml:space="preserve"> </v>
      </c>
      <c r="J27" s="4" t="str">
        <f>IF(J$2&gt;0,(J19*(J$2)/10000)," ")</f>
        <v xml:space="preserve"> </v>
      </c>
    </row>
    <row r="28" spans="2:10" s="21" customFormat="1" x14ac:dyDescent="0.25">
      <c r="B28" s="21" t="s">
        <v>23</v>
      </c>
      <c r="C28" s="4">
        <f>IF(C$2&gt;0,AVERAGE(C25:C26)," ")</f>
        <v>0.39639231544845327</v>
      </c>
      <c r="D28" s="4">
        <f t="shared" ref="D28:J28" si="20">IF(D$2&gt;0,AVERAGE(D25:D26)," ")</f>
        <v>0.36604034542771713</v>
      </c>
      <c r="E28" s="4">
        <f t="shared" si="20"/>
        <v>0.33497040130455746</v>
      </c>
      <c r="F28" s="4">
        <f t="shared" si="20"/>
        <v>0.30049773613729075</v>
      </c>
      <c r="G28" s="4">
        <f t="shared" si="20"/>
        <v>0.26546641645425406</v>
      </c>
      <c r="H28" s="4">
        <f t="shared" si="20"/>
        <v>0.23992025053247665</v>
      </c>
      <c r="I28" s="4" t="str">
        <f t="shared" si="20"/>
        <v xml:space="preserve"> </v>
      </c>
      <c r="J28" s="4" t="str">
        <f t="shared" si="20"/>
        <v xml:space="preserve"> </v>
      </c>
    </row>
    <row r="29" spans="2:10" hidden="1" x14ac:dyDescent="0.25">
      <c r="B29" s="10" t="s">
        <v>4</v>
      </c>
      <c r="C29" s="23">
        <f>C18/C16</f>
        <v>1</v>
      </c>
      <c r="D29" s="23">
        <f t="shared" ref="D29:J29" si="21">D18/D16</f>
        <v>1.0355029164</v>
      </c>
      <c r="E29" s="23">
        <f t="shared" si="21"/>
        <v>1.0888661126571006</v>
      </c>
      <c r="F29" s="23">
        <f t="shared" si="21"/>
        <v>1.118740571954256</v>
      </c>
      <c r="G29" s="23">
        <f t="shared" si="21"/>
        <v>1.103615464350264</v>
      </c>
      <c r="H29" s="23">
        <f t="shared" si="21"/>
        <v>1.0895996236751575</v>
      </c>
      <c r="I29" s="23" t="e">
        <f t="shared" si="21"/>
        <v>#VALUE!</v>
      </c>
      <c r="J29" s="23" t="e">
        <f t="shared" si="21"/>
        <v>#VALUE!</v>
      </c>
    </row>
    <row r="30" spans="2:10" x14ac:dyDescent="0.25">
      <c r="B30" s="8" t="s">
        <v>20</v>
      </c>
      <c r="C30" s="4">
        <f>IF(C$2&gt;0,(C20*(C$2)/10000)," ")</f>
        <v>0.42810370068432957</v>
      </c>
      <c r="D30" s="4">
        <f t="shared" ref="D30:J30" si="22">IF(D$2&gt;0,(D20*(D$2)/10000)," ")</f>
        <v>0.38842840251106658</v>
      </c>
      <c r="E30" s="4">
        <f t="shared" si="22"/>
        <v>0.35458579383564071</v>
      </c>
      <c r="F30" s="4">
        <f t="shared" si="22"/>
        <v>0.3192535052840188</v>
      </c>
      <c r="G30" s="4">
        <f t="shared" si="22"/>
        <v>0.28331661389370899</v>
      </c>
      <c r="H30" s="4">
        <f t="shared" si="22"/>
        <v>0.25656527461470313</v>
      </c>
      <c r="I30" s="4" t="str">
        <f t="shared" si="22"/>
        <v xml:space="preserve"> </v>
      </c>
      <c r="J30" s="4" t="str">
        <f t="shared" si="22"/>
        <v xml:space="preserve"> </v>
      </c>
    </row>
    <row r="31" spans="2:10" hidden="1" x14ac:dyDescent="0.25">
      <c r="B31" s="8" t="s">
        <v>10</v>
      </c>
      <c r="C31" s="4">
        <f>IF(C$2&gt;0,(C21*(C$2)/10000)," ")</f>
        <v>0.5137244408211955</v>
      </c>
      <c r="D31" s="4">
        <f t="shared" ref="D31:J31" si="23">IF(D$2&gt;0,(D21*(D$2)/10000)," ")</f>
        <v>0.48266249233536301</v>
      </c>
      <c r="E31" s="4">
        <f t="shared" si="23"/>
        <v>0.44274032757864423</v>
      </c>
      <c r="F31" s="4">
        <f t="shared" si="23"/>
        <v>0.39578592572703508</v>
      </c>
      <c r="G31" s="4">
        <f t="shared" si="23"/>
        <v>0.34810901477697576</v>
      </c>
      <c r="H31" s="4">
        <f t="shared" si="23"/>
        <v>0.31399495984253573</v>
      </c>
      <c r="I31" s="4" t="str">
        <f t="shared" si="23"/>
        <v xml:space="preserve"> </v>
      </c>
      <c r="J31" s="4" t="str">
        <f t="shared" si="23"/>
        <v xml:space="preserve"> </v>
      </c>
    </row>
    <row r="32" spans="2:10" x14ac:dyDescent="0.25">
      <c r="D32" s="18"/>
    </row>
    <row r="33" spans="2:10" ht="22.35" customHeight="1" x14ac:dyDescent="0.25">
      <c r="B33" s="25" t="s">
        <v>12</v>
      </c>
      <c r="C33" s="27" t="s">
        <v>26</v>
      </c>
      <c r="D33" s="27"/>
      <c r="E33" s="27"/>
      <c r="F33" s="27"/>
      <c r="G33" s="27"/>
      <c r="H33" s="27"/>
      <c r="I33" s="27"/>
      <c r="J33" s="27"/>
    </row>
    <row r="34" spans="2:10" ht="34.35" customHeight="1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6" spans="2:10" x14ac:dyDescent="0.25">
      <c r="G36" s="19"/>
    </row>
  </sheetData>
  <sheetProtection algorithmName="SHA-512" hashValue="0o2ouLB5HrhNiKEUMb7iqM0Yg1RCV/UqiPT0OGHGGq+45Yc8hnv1bs5Zf+NJQvHC2/r4ijgfRl+0unfAqePm8A==" saltValue="brIGZkp7zV0KPYmRgPjvCQ==" spinCount="100000" sheet="1" objects="1" scenarios="1"/>
  <mergeCells count="2">
    <mergeCell ref="B33:B34"/>
    <mergeCell ref="C33:J34"/>
  </mergeCells>
  <dataValidations count="1">
    <dataValidation type="decimal" errorStyle="warning" allowBlank="1" showInputMessage="1" showErrorMessage="1" error="This calculator is based on data between 11 and 150 kg. It is not recommended to use for body weight outside of this range." sqref="C4:J5" xr:uid="{B3115BE8-5E31-4CA9-9369-CFD925538335}">
      <formula1>11</formula1>
      <formula2>150</formula2>
    </dataValidation>
  </dataValidations>
  <pageMargins left="0.7" right="0.7" top="0.75" bottom="0.75" header="0.3" footer="0.3"/>
  <pageSetup orientation="portrait" r:id="rId1"/>
  <ignoredErrors>
    <ignoredError sqref="D4:H4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C297A-7738-469E-A4A3-E1D798383C7F}">
  <dimension ref="B1:L43"/>
  <sheetViews>
    <sheetView showGridLines="0" showRowColHeaders="0" tabSelected="1" zoomScaleNormal="100" workbookViewId="0">
      <selection activeCell="P17" sqref="P17"/>
    </sheetView>
  </sheetViews>
  <sheetFormatPr defaultColWidth="8.85546875" defaultRowHeight="15" x14ac:dyDescent="0.25"/>
  <cols>
    <col min="1" max="1" width="8.85546875" style="8"/>
    <col min="2" max="2" width="27" style="8" customWidth="1"/>
    <col min="3" max="7" width="9.42578125" style="9" customWidth="1"/>
    <col min="8" max="10" width="9.42578125" style="8" customWidth="1"/>
    <col min="11" max="16384" width="8.85546875" style="8"/>
  </cols>
  <sheetData>
    <row r="1" spans="2:12" s="16" customFormat="1" ht="122.1" customHeight="1" x14ac:dyDescent="0.25">
      <c r="C1" s="17"/>
      <c r="D1" s="17"/>
      <c r="E1" s="17"/>
      <c r="F1" s="17"/>
      <c r="G1" s="17"/>
    </row>
    <row r="2" spans="2:12" ht="30" x14ac:dyDescent="0.25">
      <c r="B2" s="24" t="s">
        <v>13</v>
      </c>
      <c r="C2" s="2">
        <v>3300</v>
      </c>
      <c r="D2" s="2">
        <v>3300</v>
      </c>
      <c r="E2" s="2">
        <v>3300</v>
      </c>
      <c r="F2" s="2">
        <v>3300</v>
      </c>
      <c r="G2" s="2">
        <v>3300</v>
      </c>
      <c r="H2" s="2">
        <v>3300</v>
      </c>
      <c r="I2" s="2"/>
      <c r="J2" s="2"/>
    </row>
    <row r="3" spans="2:12" hidden="1" x14ac:dyDescent="0.25">
      <c r="B3" s="10"/>
      <c r="H3" s="9"/>
    </row>
    <row r="4" spans="2:12" x14ac:dyDescent="0.25">
      <c r="B4" s="10" t="s">
        <v>14</v>
      </c>
      <c r="C4" s="2">
        <v>11</v>
      </c>
      <c r="D4" s="2">
        <v>23</v>
      </c>
      <c r="E4" s="2">
        <v>41</v>
      </c>
      <c r="F4" s="2">
        <v>59</v>
      </c>
      <c r="G4" s="2">
        <v>82</v>
      </c>
      <c r="H4" s="2">
        <v>104</v>
      </c>
      <c r="I4" s="2"/>
      <c r="J4" s="2"/>
      <c r="L4" s="20"/>
    </row>
    <row r="5" spans="2:12" x14ac:dyDescent="0.25">
      <c r="B5" s="10" t="s">
        <v>15</v>
      </c>
      <c r="C5" s="2">
        <v>23</v>
      </c>
      <c r="D5" s="2">
        <v>41</v>
      </c>
      <c r="E5" s="2">
        <v>59</v>
      </c>
      <c r="F5" s="2">
        <v>82</v>
      </c>
      <c r="G5" s="2">
        <v>104</v>
      </c>
      <c r="H5" s="2">
        <v>129</v>
      </c>
      <c r="I5" s="2"/>
      <c r="J5" s="2"/>
      <c r="L5" s="21"/>
    </row>
    <row r="6" spans="2:12" x14ac:dyDescent="0.25">
      <c r="H6" s="9"/>
    </row>
    <row r="7" spans="2:12" hidden="1" x14ac:dyDescent="0.25">
      <c r="B7" s="8" t="s">
        <v>3</v>
      </c>
      <c r="C7" s="11">
        <f>IF(C4&gt;0,CONVERT(C4*1000,"g","lbm")," ")</f>
        <v>24.250848840336534</v>
      </c>
      <c r="D7" s="11">
        <f t="shared" ref="D7:J8" si="0">IF(D4&gt;0,CONVERT(D4*1000,"g","lbm")," ")</f>
        <v>50.706320302521839</v>
      </c>
      <c r="E7" s="11">
        <f t="shared" si="0"/>
        <v>90.389527495799811</v>
      </c>
      <c r="F7" s="11">
        <f t="shared" si="0"/>
        <v>130.07273468907778</v>
      </c>
      <c r="G7" s="11">
        <f t="shared" si="0"/>
        <v>180.77905499159962</v>
      </c>
      <c r="H7" s="11">
        <f t="shared" si="0"/>
        <v>229.28075267227268</v>
      </c>
      <c r="I7" s="11" t="str">
        <f t="shared" si="0"/>
        <v xml:space="preserve"> </v>
      </c>
      <c r="J7" s="11" t="str">
        <f t="shared" si="0"/>
        <v xml:space="preserve"> </v>
      </c>
    </row>
    <row r="8" spans="2:12" hidden="1" x14ac:dyDescent="0.25">
      <c r="B8" s="8" t="s">
        <v>2</v>
      </c>
      <c r="C8" s="11">
        <f>IF(C5&gt;0,CONVERT(C5*1000,"g","lbm")," ")</f>
        <v>50.706320302521839</v>
      </c>
      <c r="D8" s="11">
        <f t="shared" si="0"/>
        <v>90.389527495799811</v>
      </c>
      <c r="E8" s="11">
        <f t="shared" si="0"/>
        <v>130.07273468907778</v>
      </c>
      <c r="F8" s="11">
        <f t="shared" si="0"/>
        <v>180.77905499159962</v>
      </c>
      <c r="G8" s="11">
        <f t="shared" si="0"/>
        <v>229.28075267227268</v>
      </c>
      <c r="H8" s="11">
        <f t="shared" si="0"/>
        <v>284.39631821849207</v>
      </c>
      <c r="I8" s="11" t="str">
        <f t="shared" si="0"/>
        <v xml:space="preserve"> </v>
      </c>
      <c r="J8" s="11" t="str">
        <f t="shared" si="0"/>
        <v xml:space="preserve"> </v>
      </c>
    </row>
    <row r="9" spans="2:12" hidden="1" x14ac:dyDescent="0.25">
      <c r="C9" s="12">
        <f>IFERROR(IF(C7&gt;0,AVERAGE(C7:C8)," "),"")</f>
        <v>37.478584571429188</v>
      </c>
      <c r="D9" s="12">
        <f t="shared" ref="D9:J9" si="1">IFERROR(IF(D7&gt;0,AVERAGE(D7:D8)," "),"")</f>
        <v>70.547923899160821</v>
      </c>
      <c r="E9" s="12">
        <f t="shared" si="1"/>
        <v>110.2311310924388</v>
      </c>
      <c r="F9" s="12">
        <f t="shared" si="1"/>
        <v>155.42589484033869</v>
      </c>
      <c r="G9" s="12">
        <f t="shared" si="1"/>
        <v>205.02990383193617</v>
      </c>
      <c r="H9" s="12">
        <f t="shared" si="1"/>
        <v>256.83853544538238</v>
      </c>
      <c r="I9" s="12" t="str">
        <f t="shared" si="1"/>
        <v/>
      </c>
      <c r="J9" s="12" t="str">
        <f t="shared" si="1"/>
        <v/>
      </c>
    </row>
    <row r="10" spans="2:12" hidden="1" x14ac:dyDescent="0.25">
      <c r="C10" s="12"/>
      <c r="D10" s="12"/>
      <c r="E10" s="12"/>
      <c r="F10" s="12"/>
      <c r="G10" s="13"/>
      <c r="H10" s="14"/>
      <c r="J10" s="15"/>
    </row>
    <row r="11" spans="2:12" hidden="1" x14ac:dyDescent="0.25">
      <c r="B11" s="8" t="s">
        <v>0</v>
      </c>
      <c r="C11" s="11">
        <f>IF(C4&gt;0,C4," ")</f>
        <v>11</v>
      </c>
      <c r="D11" s="11">
        <f t="shared" ref="D11:J12" si="2">IF(D4&gt;0,D4," ")</f>
        <v>23</v>
      </c>
      <c r="E11" s="11">
        <f t="shared" si="2"/>
        <v>41</v>
      </c>
      <c r="F11" s="11">
        <f t="shared" si="2"/>
        <v>59</v>
      </c>
      <c r="G11" s="11">
        <f t="shared" si="2"/>
        <v>82</v>
      </c>
      <c r="H11" s="11">
        <f t="shared" si="2"/>
        <v>104</v>
      </c>
      <c r="I11" s="11" t="str">
        <f t="shared" si="2"/>
        <v xml:space="preserve"> </v>
      </c>
      <c r="J11" s="11" t="str">
        <f t="shared" si="2"/>
        <v xml:space="preserve"> </v>
      </c>
    </row>
    <row r="12" spans="2:12" hidden="1" x14ac:dyDescent="0.25">
      <c r="B12" s="8" t="s">
        <v>1</v>
      </c>
      <c r="C12" s="11">
        <f>IF(C5&gt;0,C5," ")</f>
        <v>23</v>
      </c>
      <c r="D12" s="11">
        <f t="shared" si="2"/>
        <v>41</v>
      </c>
      <c r="E12" s="11">
        <f t="shared" si="2"/>
        <v>59</v>
      </c>
      <c r="F12" s="11">
        <f t="shared" si="2"/>
        <v>82</v>
      </c>
      <c r="G12" s="11">
        <f t="shared" si="2"/>
        <v>104</v>
      </c>
      <c r="H12" s="11">
        <f t="shared" si="2"/>
        <v>129</v>
      </c>
      <c r="I12" s="11" t="str">
        <f t="shared" si="2"/>
        <v xml:space="preserve"> </v>
      </c>
      <c r="J12" s="11" t="str">
        <f t="shared" si="2"/>
        <v xml:space="preserve"> </v>
      </c>
    </row>
    <row r="13" spans="2:12" hidden="1" x14ac:dyDescent="0.25">
      <c r="C13" s="12">
        <f>IFERROR(IF(C11&gt;0,AVERAGE(C11:C12)," "),"")</f>
        <v>17</v>
      </c>
      <c r="D13" s="12">
        <f t="shared" ref="D13:J13" si="3">IFERROR(IF(D11&gt;0,AVERAGE(D11:D12)," "),"")</f>
        <v>32</v>
      </c>
      <c r="E13" s="12">
        <f t="shared" si="3"/>
        <v>50</v>
      </c>
      <c r="F13" s="12">
        <f t="shared" si="3"/>
        <v>70.5</v>
      </c>
      <c r="G13" s="12">
        <f t="shared" si="3"/>
        <v>93</v>
      </c>
      <c r="H13" s="12">
        <f t="shared" si="3"/>
        <v>116.5</v>
      </c>
      <c r="I13" s="12" t="str">
        <f t="shared" si="3"/>
        <v/>
      </c>
      <c r="J13" s="12" t="str">
        <f t="shared" si="3"/>
        <v/>
      </c>
    </row>
    <row r="14" spans="2:12" hidden="1" x14ac:dyDescent="0.25">
      <c r="C14" s="12"/>
      <c r="D14" s="12"/>
      <c r="E14" s="12"/>
      <c r="F14" s="12"/>
      <c r="G14" s="13"/>
      <c r="H14" s="14"/>
      <c r="J14" s="15"/>
    </row>
    <row r="15" spans="2:12" x14ac:dyDescent="0.25">
      <c r="B15" s="10" t="s">
        <v>24</v>
      </c>
      <c r="G15" s="14"/>
      <c r="H15" s="14"/>
      <c r="J15" s="15"/>
    </row>
    <row r="16" spans="2:12" x14ac:dyDescent="0.25">
      <c r="B16" s="8" t="s">
        <v>16</v>
      </c>
      <c r="C16" s="4">
        <f>IFERROR(C23*0.86,"")</f>
        <v>1.1363246376188993</v>
      </c>
      <c r="D16" s="4">
        <f t="shared" ref="D16:J16" si="4">IFERROR(D23*0.86,"")</f>
        <v>1.0310136609861642</v>
      </c>
      <c r="E16" s="4">
        <f t="shared" si="4"/>
        <v>0.89938739170391746</v>
      </c>
      <c r="F16" s="4">
        <f t="shared" si="4"/>
        <v>0.78253388647582645</v>
      </c>
      <c r="G16" s="4">
        <f t="shared" si="4"/>
        <v>0.69770154986167887</v>
      </c>
      <c r="H16" s="4">
        <f t="shared" si="4"/>
        <v>0.63742328972526718</v>
      </c>
      <c r="I16" s="4" t="str">
        <f t="shared" si="4"/>
        <v/>
      </c>
      <c r="J16" s="4" t="str">
        <f t="shared" si="4"/>
        <v/>
      </c>
    </row>
    <row r="17" spans="2:10" x14ac:dyDescent="0.25">
      <c r="B17" s="8" t="s">
        <v>17</v>
      </c>
      <c r="C17" s="4">
        <f t="shared" ref="C17:J20" si="5">IFERROR(C24*0.86,"")</f>
        <v>1.1363246376188993</v>
      </c>
      <c r="D17" s="4">
        <f t="shared" si="5"/>
        <v>1.0310136609861642</v>
      </c>
      <c r="E17" s="4">
        <f t="shared" si="5"/>
        <v>0.94118451450200913</v>
      </c>
      <c r="F17" s="4">
        <f t="shared" si="5"/>
        <v>0.8474012794575807</v>
      </c>
      <c r="G17" s="4">
        <f t="shared" si="5"/>
        <v>0.75201323440922752</v>
      </c>
      <c r="H17" s="4">
        <f t="shared" si="5"/>
        <v>0.68100659311310086</v>
      </c>
      <c r="I17" s="4" t="str">
        <f t="shared" si="5"/>
        <v/>
      </c>
      <c r="J17" s="4" t="str">
        <f t="shared" si="5"/>
        <v/>
      </c>
    </row>
    <row r="18" spans="2:10" x14ac:dyDescent="0.25">
      <c r="B18" s="21" t="s">
        <v>19</v>
      </c>
      <c r="C18" s="4">
        <f t="shared" si="5"/>
        <v>1.1363246376188993</v>
      </c>
      <c r="D18" s="4">
        <f t="shared" si="5"/>
        <v>1.0676176527994141</v>
      </c>
      <c r="E18" s="4">
        <f t="shared" si="5"/>
        <v>0.97931245297745384</v>
      </c>
      <c r="F18" s="4">
        <f t="shared" si="5"/>
        <v>0.87545240772955291</v>
      </c>
      <c r="G18" s="4">
        <f t="shared" si="5"/>
        <v>0.76999421992849559</v>
      </c>
      <c r="H18" s="4">
        <f t="shared" si="5"/>
        <v>0.69453617660643197</v>
      </c>
      <c r="I18" s="4" t="str">
        <f t="shared" si="5"/>
        <v/>
      </c>
      <c r="J18" s="4" t="str">
        <f t="shared" si="5"/>
        <v/>
      </c>
    </row>
    <row r="19" spans="2:10" x14ac:dyDescent="0.25">
      <c r="B19" s="8" t="s">
        <v>21</v>
      </c>
      <c r="C19" s="4">
        <f t="shared" si="5"/>
        <v>1.1363246376188993</v>
      </c>
      <c r="D19" s="4">
        <f t="shared" si="5"/>
        <v>1.0310136609861642</v>
      </c>
      <c r="E19" s="4">
        <f t="shared" si="5"/>
        <v>0.92028595310296335</v>
      </c>
      <c r="F19" s="4">
        <f t="shared" si="5"/>
        <v>0.81496758296670357</v>
      </c>
      <c r="G19" s="4">
        <f t="shared" si="5"/>
        <v>0.72485739213545319</v>
      </c>
      <c r="H19" s="4">
        <f t="shared" si="5"/>
        <v>0.65921494141918402</v>
      </c>
      <c r="I19" s="4" t="str">
        <f t="shared" si="5"/>
        <v/>
      </c>
      <c r="J19" s="4" t="str">
        <f t="shared" si="5"/>
        <v/>
      </c>
    </row>
    <row r="20" spans="2:10" x14ac:dyDescent="0.25">
      <c r="B20" s="8" t="s">
        <v>20</v>
      </c>
      <c r="C20" s="4">
        <f t="shared" si="5"/>
        <v>1.2272306086284115</v>
      </c>
      <c r="D20" s="4">
        <f t="shared" si="5"/>
        <v>1.1134947538650575</v>
      </c>
      <c r="E20" s="4">
        <f t="shared" si="5"/>
        <v>1.0164792756621701</v>
      </c>
      <c r="F20" s="4">
        <f t="shared" si="5"/>
        <v>0.91519338181418719</v>
      </c>
      <c r="G20" s="4">
        <f t="shared" si="5"/>
        <v>0.81217429316196577</v>
      </c>
      <c r="H20" s="4">
        <f t="shared" si="5"/>
        <v>0.73548712056214893</v>
      </c>
      <c r="I20" s="4" t="str">
        <f t="shared" si="5"/>
        <v/>
      </c>
      <c r="J20" s="4" t="str">
        <f t="shared" si="5"/>
        <v/>
      </c>
    </row>
    <row r="21" spans="2:10" hidden="1" x14ac:dyDescent="0.25">
      <c r="B21" s="8" t="s">
        <v>10</v>
      </c>
      <c r="C21" s="4">
        <f>IFERROR(C28*0.86*1.2,"")</f>
        <v>1.4726767303540937</v>
      </c>
      <c r="D21" s="4">
        <f t="shared" ref="D21:J21" si="6">IFERROR(D28*0.86*1.2,"")</f>
        <v>1.3836324780280405</v>
      </c>
      <c r="E21" s="4">
        <f t="shared" si="6"/>
        <v>1.2691889390587803</v>
      </c>
      <c r="F21" s="4">
        <f t="shared" si="6"/>
        <v>1.1345863204175006</v>
      </c>
      <c r="G21" s="4">
        <f t="shared" si="6"/>
        <v>0.99791250902733031</v>
      </c>
      <c r="H21" s="4">
        <f t="shared" si="6"/>
        <v>0.90011888488193581</v>
      </c>
      <c r="I21" s="4" t="str">
        <f t="shared" si="6"/>
        <v/>
      </c>
      <c r="J21" s="4" t="str">
        <f t="shared" si="6"/>
        <v/>
      </c>
    </row>
    <row r="22" spans="2:10" hidden="1" x14ac:dyDescent="0.25">
      <c r="B22" s="10" t="s">
        <v>6</v>
      </c>
      <c r="G22" s="14"/>
      <c r="H22" s="14"/>
      <c r="J22" s="15"/>
    </row>
    <row r="23" spans="2:10" s="21" customFormat="1" hidden="1" x14ac:dyDescent="0.25">
      <c r="B23" s="8" t="s">
        <v>7</v>
      </c>
      <c r="C23" s="4">
        <f>IFERROR(IF(AND(C4&gt;0,C13&lt;40),C26,C26+(-(-0.0000000031*C13^4+0.0000013234*C13^3-0.0002087068*C13^2+0.0142221655*C13-0.3126825057)*C26)),"")</f>
        <v>1.3213077181615109</v>
      </c>
      <c r="D23" s="4">
        <f t="shared" ref="D23:J23" si="7">IFERROR(IF(AND(D4&gt;0,D13&lt;40),D26,D26+(-(-0.0000000031*D13^4+0.0000013234*D13^3-0.0002087068*D13^2+0.0142221655*D13-0.3126825057)*D26)),"")</f>
        <v>1.1988530941699584</v>
      </c>
      <c r="E23" s="4">
        <f t="shared" si="7"/>
        <v>1.0457992926789739</v>
      </c>
      <c r="F23" s="4">
        <f t="shared" si="7"/>
        <v>0.90992312380910056</v>
      </c>
      <c r="G23" s="4">
        <f t="shared" si="7"/>
        <v>0.81128087193218479</v>
      </c>
      <c r="H23" s="4">
        <f t="shared" si="7"/>
        <v>0.74118987177356654</v>
      </c>
      <c r="I23" s="4" t="str">
        <f t="shared" si="7"/>
        <v/>
      </c>
      <c r="J23" s="4" t="str">
        <f t="shared" si="7"/>
        <v/>
      </c>
    </row>
    <row r="24" spans="2:10" s="21" customFormat="1" hidden="1" x14ac:dyDescent="0.25">
      <c r="B24" s="8" t="s">
        <v>8</v>
      </c>
      <c r="C24" s="4">
        <f>IFERROR(IF(AND(C4&gt;0,C13&lt;40),C26,C26+((-0.0000000031*C13^4+0.0000013234*C13^3-0.0002087068*C13^2+0.0142221655*C13-0.3126825057)*C26)),"")</f>
        <v>1.3213077181615109</v>
      </c>
      <c r="D24" s="4">
        <f t="shared" ref="D24:J24" si="8">IFERROR(IF(AND(D4&gt;0,D13&lt;40),D26,D26+((-0.0000000031*D13^4+0.0000013234*D13^3-0.0002087068*D13^2+0.0142221655*D13-0.3126825057)*D26)),"")</f>
        <v>1.1988530941699584</v>
      </c>
      <c r="E24" s="4">
        <f>IFERROR(IF(AND(E4&gt;0,E13&lt;40),E26,E26+((-0.0000000031*E13^4+0.0000013234*E13^3-0.0002087068*E13^2+0.0142221655*E13-0.3126825057)*E26)),"")</f>
        <v>1.0944005982581502</v>
      </c>
      <c r="F24" s="4">
        <f t="shared" si="8"/>
        <v>0.9853503249506752</v>
      </c>
      <c r="G24" s="4">
        <f t="shared" si="8"/>
        <v>0.87443399349910178</v>
      </c>
      <c r="H24" s="4">
        <f t="shared" si="8"/>
        <v>0.79186813152686142</v>
      </c>
      <c r="I24" s="4" t="str">
        <f t="shared" si="8"/>
        <v/>
      </c>
      <c r="J24" s="4" t="str">
        <f t="shared" si="8"/>
        <v/>
      </c>
    </row>
    <row r="25" spans="2:10" s="21" customFormat="1" hidden="1" x14ac:dyDescent="0.25">
      <c r="B25" s="21" t="s">
        <v>9</v>
      </c>
      <c r="C25" s="5">
        <f>IF(C4&gt;0,(IF(C12&lt;30,C24,C24+((-0.0000000019*(C13^4)+0.0000007208*(C13^3)-0.0000963713*(C13^2)+0.0050363106*C13-0.0486016916)*C24))),"")</f>
        <v>1.3213077181615109</v>
      </c>
      <c r="D25" s="5">
        <f t="shared" ref="D25:J25" si="9">IF(D4&gt;0,(IF(D12&lt;30,D24,D24+((-0.0000000019*(D13^4)+0.0000007208*(D13^3)-0.0000963713*(D13^2)+0.0050363106*D13-0.0486016916)*D24))),"")</f>
        <v>1.2414158753481559</v>
      </c>
      <c r="E25" s="5">
        <f t="shared" si="9"/>
        <v>1.1387354104388998</v>
      </c>
      <c r="F25" s="5">
        <f t="shared" si="9"/>
        <v>1.0179679159645965</v>
      </c>
      <c r="G25" s="5">
        <f t="shared" si="9"/>
        <v>0.89534211619592519</v>
      </c>
      <c r="H25" s="5">
        <f t="shared" si="9"/>
        <v>0.80760020535631627</v>
      </c>
      <c r="I25" s="5" t="str">
        <f t="shared" si="9"/>
        <v/>
      </c>
      <c r="J25" s="5" t="str">
        <f t="shared" si="9"/>
        <v/>
      </c>
    </row>
    <row r="26" spans="2:10" s="21" customFormat="1" hidden="1" x14ac:dyDescent="0.25">
      <c r="B26" s="8" t="s">
        <v>5</v>
      </c>
      <c r="C26" s="4">
        <f>IF(C4&gt;0,(0.0000306269361758696*(C13^2) - 0.00966436147205444*(C13) +1.47675067863161)," ")</f>
        <v>1.3213077181615109</v>
      </c>
      <c r="D26" s="4">
        <f t="shared" ref="D26:J26" si="10">IF(D4&gt;0,(0.0000306269361758696*(D13^2) - 0.00966436147205444*(D13) +1.47675067863161)," ")</f>
        <v>1.1988530941699584</v>
      </c>
      <c r="E26" s="4">
        <f t="shared" si="10"/>
        <v>1.070099945468562</v>
      </c>
      <c r="F26" s="4">
        <f t="shared" si="10"/>
        <v>0.94763672437988788</v>
      </c>
      <c r="G26" s="4">
        <f t="shared" si="10"/>
        <v>0.84285743271564328</v>
      </c>
      <c r="H26" s="4">
        <f t="shared" si="10"/>
        <v>0.76652900165021398</v>
      </c>
      <c r="I26" s="4" t="str">
        <f t="shared" si="10"/>
        <v xml:space="preserve"> </v>
      </c>
      <c r="J26" s="4" t="str">
        <f t="shared" si="10"/>
        <v xml:space="preserve"> </v>
      </c>
    </row>
    <row r="27" spans="2:10" s="21" customFormat="1" hidden="1" x14ac:dyDescent="0.25">
      <c r="B27" s="8" t="s">
        <v>11</v>
      </c>
      <c r="C27" s="4">
        <f>IFERROR(C24*1.08,"")</f>
        <v>1.427012335614432</v>
      </c>
      <c r="D27" s="4">
        <f t="shared" ref="D27:J28" si="11">IFERROR(D24*1.08,"")</f>
        <v>1.2947613417035553</v>
      </c>
      <c r="E27" s="4">
        <f t="shared" si="11"/>
        <v>1.1819526461188024</v>
      </c>
      <c r="F27" s="4">
        <f t="shared" si="11"/>
        <v>1.0641783509467293</v>
      </c>
      <c r="G27" s="4">
        <f t="shared" si="11"/>
        <v>0.94438871297902993</v>
      </c>
      <c r="H27" s="4">
        <f t="shared" si="11"/>
        <v>0.85521758204901044</v>
      </c>
      <c r="I27" s="4" t="str">
        <f t="shared" si="11"/>
        <v/>
      </c>
      <c r="J27" s="4" t="str">
        <f t="shared" si="11"/>
        <v/>
      </c>
    </row>
    <row r="28" spans="2:10" s="21" customFormat="1" hidden="1" x14ac:dyDescent="0.25">
      <c r="B28" s="8" t="s">
        <v>10</v>
      </c>
      <c r="C28" s="4">
        <f>IFERROR(C25*1.08,"")</f>
        <v>1.427012335614432</v>
      </c>
      <c r="D28" s="4">
        <f t="shared" si="11"/>
        <v>1.3407291453760084</v>
      </c>
      <c r="E28" s="4">
        <f t="shared" si="11"/>
        <v>1.2298342432740119</v>
      </c>
      <c r="F28" s="4">
        <f t="shared" si="11"/>
        <v>1.0994053492417641</v>
      </c>
      <c r="G28" s="4">
        <f t="shared" si="11"/>
        <v>0.96696948549159922</v>
      </c>
      <c r="H28" s="4">
        <f t="shared" si="11"/>
        <v>0.8722082217848216</v>
      </c>
      <c r="I28" s="4" t="str">
        <f t="shared" si="11"/>
        <v/>
      </c>
      <c r="J28" s="4" t="str">
        <f t="shared" si="11"/>
        <v/>
      </c>
    </row>
    <row r="29" spans="2:10" s="21" customFormat="1" x14ac:dyDescent="0.25">
      <c r="B29" s="8"/>
      <c r="C29" s="14"/>
      <c r="D29" s="14"/>
      <c r="E29" s="14"/>
      <c r="F29" s="14"/>
      <c r="G29" s="14"/>
    </row>
    <row r="30" spans="2:10" s="21" customFormat="1" x14ac:dyDescent="0.25">
      <c r="B30" s="10" t="s">
        <v>25</v>
      </c>
      <c r="C30" s="14"/>
      <c r="D30" s="14"/>
      <c r="E30" s="14"/>
      <c r="F30" s="14"/>
      <c r="G30" s="14"/>
      <c r="H30" s="14"/>
      <c r="J30" s="22"/>
    </row>
    <row r="31" spans="2:10" s="21" customFormat="1" x14ac:dyDescent="0.25">
      <c r="B31" s="8" t="s">
        <v>16</v>
      </c>
      <c r="C31" s="4">
        <f>IF(C$2&gt;0,(C16*(C$2)/10000)," ")</f>
        <v>0.37498713041423681</v>
      </c>
      <c r="D31" s="4">
        <f t="shared" ref="D31:J31" si="12">IF(D$2&gt;0,(D16*(D$2)/10000)," ")</f>
        <v>0.34023450812543421</v>
      </c>
      <c r="E31" s="4">
        <f t="shared" si="12"/>
        <v>0.29679783926229275</v>
      </c>
      <c r="F31" s="4">
        <f t="shared" si="12"/>
        <v>0.25823618253702268</v>
      </c>
      <c r="G31" s="4">
        <f t="shared" si="12"/>
        <v>0.23024151145435404</v>
      </c>
      <c r="H31" s="4">
        <f t="shared" si="12"/>
        <v>0.21034968560933817</v>
      </c>
      <c r="I31" s="4" t="str">
        <f t="shared" si="12"/>
        <v xml:space="preserve"> </v>
      </c>
      <c r="J31" s="4" t="str">
        <f t="shared" si="12"/>
        <v xml:space="preserve"> </v>
      </c>
    </row>
    <row r="32" spans="2:10" s="21" customFormat="1" x14ac:dyDescent="0.25">
      <c r="B32" s="8" t="s">
        <v>17</v>
      </c>
      <c r="C32" s="4">
        <f>IF(C$2&gt;0,(C17*(C$2)/10000)," ")</f>
        <v>0.37498713041423681</v>
      </c>
      <c r="D32" s="4">
        <f t="shared" ref="D32:J32" si="13">IF(D$2&gt;0,(D17*(D$2)/10000)," ")</f>
        <v>0.34023450812543421</v>
      </c>
      <c r="E32" s="4">
        <f t="shared" si="13"/>
        <v>0.31059088978566302</v>
      </c>
      <c r="F32" s="4">
        <f t="shared" si="13"/>
        <v>0.27964242222100166</v>
      </c>
      <c r="G32" s="4">
        <f t="shared" si="13"/>
        <v>0.24816436735504507</v>
      </c>
      <c r="H32" s="4">
        <f t="shared" si="13"/>
        <v>0.22473217572732329</v>
      </c>
      <c r="I32" s="4" t="str">
        <f t="shared" si="13"/>
        <v xml:space="preserve"> </v>
      </c>
      <c r="J32" s="4" t="str">
        <f t="shared" si="13"/>
        <v xml:space="preserve"> </v>
      </c>
    </row>
    <row r="33" spans="2:10" s="21" customFormat="1" x14ac:dyDescent="0.25">
      <c r="B33" s="21" t="s">
        <v>19</v>
      </c>
      <c r="C33" s="4">
        <f>IF(C$2&gt;0,(C18*(C$2)/10000)," ")</f>
        <v>0.37498713041423681</v>
      </c>
      <c r="D33" s="4">
        <f t="shared" ref="D33:J33" si="14">IF(D$2&gt;0,(D18*(D$2)/10000)," ")</f>
        <v>0.35231382542380668</v>
      </c>
      <c r="E33" s="4">
        <f t="shared" si="14"/>
        <v>0.32317310948255978</v>
      </c>
      <c r="F33" s="4">
        <f t="shared" si="14"/>
        <v>0.28889929455075242</v>
      </c>
      <c r="G33" s="4">
        <f t="shared" si="14"/>
        <v>0.25409809257640353</v>
      </c>
      <c r="H33" s="4">
        <f t="shared" si="14"/>
        <v>0.22919693828012255</v>
      </c>
      <c r="I33" s="4" t="str">
        <f t="shared" si="14"/>
        <v xml:space="preserve"> </v>
      </c>
      <c r="J33" s="4" t="str">
        <f t="shared" si="14"/>
        <v xml:space="preserve"> </v>
      </c>
    </row>
    <row r="34" spans="2:10" s="21" customFormat="1" x14ac:dyDescent="0.25">
      <c r="B34" s="21" t="s">
        <v>21</v>
      </c>
      <c r="C34" s="4">
        <f>IF(C$2&gt;0,(C19*(C$2)/10000)," ")</f>
        <v>0.37498713041423681</v>
      </c>
      <c r="D34" s="4">
        <f t="shared" ref="D34:J34" si="15">IF(D$2&gt;0,(D19*(D$2)/10000)," ")</f>
        <v>0.34023450812543421</v>
      </c>
      <c r="E34" s="4">
        <f t="shared" si="15"/>
        <v>0.30369436452397791</v>
      </c>
      <c r="F34" s="4">
        <f t="shared" si="15"/>
        <v>0.2689393023790122</v>
      </c>
      <c r="G34" s="4">
        <f t="shared" si="15"/>
        <v>0.23920293940469955</v>
      </c>
      <c r="H34" s="4">
        <f t="shared" si="15"/>
        <v>0.21754093066833075</v>
      </c>
      <c r="I34" s="4" t="str">
        <f t="shared" si="15"/>
        <v xml:space="preserve"> </v>
      </c>
      <c r="J34" s="4" t="str">
        <f t="shared" si="15"/>
        <v xml:space="preserve"> </v>
      </c>
    </row>
    <row r="35" spans="2:10" s="21" customFormat="1" x14ac:dyDescent="0.25">
      <c r="B35" s="21" t="s">
        <v>23</v>
      </c>
      <c r="C35" s="4">
        <f>IF(C$2&gt;0,AVERAGE(C32:C33)," ")</f>
        <v>0.37498713041423681</v>
      </c>
      <c r="D35" s="4">
        <f t="shared" ref="D35:J35" si="16">IF(D$2&gt;0,AVERAGE(D32:D33)," ")</f>
        <v>0.34627416677462042</v>
      </c>
      <c r="E35" s="4">
        <f t="shared" si="16"/>
        <v>0.3168819996341114</v>
      </c>
      <c r="F35" s="4">
        <f t="shared" si="16"/>
        <v>0.28427085838587707</v>
      </c>
      <c r="G35" s="4">
        <f t="shared" si="16"/>
        <v>0.25113122996572429</v>
      </c>
      <c r="H35" s="4">
        <f t="shared" si="16"/>
        <v>0.22696455700372292</v>
      </c>
      <c r="I35" s="4" t="str">
        <f t="shared" si="16"/>
        <v xml:space="preserve"> </v>
      </c>
      <c r="J35" s="4" t="str">
        <f t="shared" si="16"/>
        <v xml:space="preserve"> </v>
      </c>
    </row>
    <row r="36" spans="2:10" hidden="1" x14ac:dyDescent="0.25">
      <c r="B36" s="10" t="s">
        <v>4</v>
      </c>
      <c r="C36" s="23">
        <f>C25/C23</f>
        <v>1</v>
      </c>
      <c r="D36" s="23">
        <f t="shared" ref="D36:J36" si="17">D25/D23</f>
        <v>1.0355029164</v>
      </c>
      <c r="E36" s="23">
        <f t="shared" si="17"/>
        <v>1.0888661126571006</v>
      </c>
      <c r="F36" s="23">
        <f t="shared" si="17"/>
        <v>1.118740571954256</v>
      </c>
      <c r="G36" s="23">
        <f t="shared" si="17"/>
        <v>1.103615464350264</v>
      </c>
      <c r="H36" s="23">
        <f t="shared" si="17"/>
        <v>1.0895996236751575</v>
      </c>
      <c r="I36" s="23" t="e">
        <f t="shared" si="17"/>
        <v>#VALUE!</v>
      </c>
      <c r="J36" s="23" t="e">
        <f t="shared" si="17"/>
        <v>#VALUE!</v>
      </c>
    </row>
    <row r="37" spans="2:10" x14ac:dyDescent="0.25">
      <c r="B37" s="8" t="s">
        <v>20</v>
      </c>
      <c r="C37" s="4">
        <f>IF(C$2&gt;0,(C20*(C$2)/10000)," ")</f>
        <v>0.4049861008473758</v>
      </c>
      <c r="D37" s="4">
        <f t="shared" ref="D37:J37" si="18">IF(D$2&gt;0,(D20*(D$2)/10000)," ")</f>
        <v>0.36745326877546897</v>
      </c>
      <c r="E37" s="4">
        <f t="shared" si="18"/>
        <v>0.33543816096851614</v>
      </c>
      <c r="F37" s="4">
        <f t="shared" si="18"/>
        <v>0.30201381599868177</v>
      </c>
      <c r="G37" s="4">
        <f t="shared" si="18"/>
        <v>0.2680175167434487</v>
      </c>
      <c r="H37" s="4">
        <f t="shared" si="18"/>
        <v>0.24271074978550913</v>
      </c>
      <c r="I37" s="4" t="str">
        <f t="shared" si="18"/>
        <v xml:space="preserve"> </v>
      </c>
      <c r="J37" s="4" t="str">
        <f t="shared" si="18"/>
        <v xml:space="preserve"> </v>
      </c>
    </row>
    <row r="38" spans="2:10" hidden="1" x14ac:dyDescent="0.25">
      <c r="B38" s="8" t="s">
        <v>10</v>
      </c>
      <c r="C38" s="4">
        <f>IF(C$2&gt;0,(C21*(C$2)/10000)," ")</f>
        <v>0.48598332101685093</v>
      </c>
      <c r="D38" s="4">
        <f t="shared" ref="D38:J38" si="19">IF(D$2&gt;0,(D21*(D$2)/10000)," ")</f>
        <v>0.45659871774925331</v>
      </c>
      <c r="E38" s="4">
        <f t="shared" si="19"/>
        <v>0.41883234988939749</v>
      </c>
      <c r="F38" s="4">
        <f t="shared" si="19"/>
        <v>0.37441348573777522</v>
      </c>
      <c r="G38" s="4">
        <f t="shared" si="19"/>
        <v>0.32931112797901901</v>
      </c>
      <c r="H38" s="4">
        <f t="shared" si="19"/>
        <v>0.29703923201103882</v>
      </c>
      <c r="I38" s="4" t="str">
        <f t="shared" si="19"/>
        <v xml:space="preserve"> </v>
      </c>
      <c r="J38" s="4" t="str">
        <f t="shared" si="19"/>
        <v xml:space="preserve"> </v>
      </c>
    </row>
    <row r="39" spans="2:10" x14ac:dyDescent="0.25">
      <c r="D39" s="18"/>
    </row>
    <row r="40" spans="2:10" ht="25.7" customHeight="1" x14ac:dyDescent="0.25">
      <c r="B40" s="25" t="s">
        <v>12</v>
      </c>
      <c r="C40" s="27" t="s">
        <v>27</v>
      </c>
      <c r="D40" s="27"/>
      <c r="E40" s="27"/>
      <c r="F40" s="27"/>
      <c r="G40" s="27"/>
      <c r="H40" s="27"/>
      <c r="I40" s="27"/>
      <c r="J40" s="27"/>
    </row>
    <row r="41" spans="2:10" ht="32.450000000000003" customHeight="1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3" spans="2:10" x14ac:dyDescent="0.25">
      <c r="G43" s="19"/>
    </row>
  </sheetData>
  <sheetProtection algorithmName="SHA-512" hashValue="FkbH60IB4PN3JcwC9JA8yx/qgdSGBPSb71fS5vaShLa9YVIxrd0EJMCAvsibD5B+JKaXwOnmTNGRCeuOw/X6kg==" saltValue="2BZNeQ/J9Wm11Paw7Xdd5g==" spinCount="100000" sheet="1" objects="1" scenarios="1"/>
  <mergeCells count="2">
    <mergeCell ref="B40:B41"/>
    <mergeCell ref="C40:J41"/>
  </mergeCells>
  <dataValidations disablePrompts="1" count="1">
    <dataValidation type="decimal" errorStyle="warning" allowBlank="1" showInputMessage="1" showErrorMessage="1" error="This calculator is based on data between 11 and 150 kg. It is not recommended to use for body weight outside of this range." sqref="C4:J5" xr:uid="{43A5F703-AB7D-49D2-AE58-25EC3497DB8C}">
      <formula1>11</formula1>
      <formula2>150</formula2>
    </dataValidation>
  </dataValidation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435929B912A24BBD8B2FFC0C87E709" ma:contentTypeVersion="4" ma:contentTypeDescription="Create a new document." ma:contentTypeScope="" ma:versionID="994cfc7aa69f33d22703884a215541c9">
  <xsd:schema xmlns:xsd="http://www.w3.org/2001/XMLSchema" xmlns:xs="http://www.w3.org/2001/XMLSchema" xmlns:p="http://schemas.microsoft.com/office/2006/metadata/properties" xmlns:ns2="0d5007d6-10e6-4b05-93e0-4ceea4a36e76" xmlns:ns3="34cc2e9b-5efc-4a56-b7a5-4bc072b79e78" targetNamespace="http://schemas.microsoft.com/office/2006/metadata/properties" ma:root="true" ma:fieldsID="9657231a56e5a67fc30dc74254921b5b" ns2:_="" ns3:_="">
    <xsd:import namespace="0d5007d6-10e6-4b05-93e0-4ceea4a36e76"/>
    <xsd:import namespace="34cc2e9b-5efc-4a56-b7a5-4bc072b79e7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5007d6-10e6-4b05-93e0-4ceea4a36e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cc2e9b-5efc-4a56-b7a5-4bc072b79e7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3F78406-A733-4CF4-9BC5-D7C9554B367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346769-C385-4080-BEFD-810B267FE4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5007d6-10e6-4b05-93e0-4ceea4a36e76"/>
    <ds:schemaRef ds:uri="34cc2e9b-5efc-4a56-b7a5-4bc072b79e7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5D29E29-DABC-4797-9629-C5DB5C65B9A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Инструкция</vt:lpstr>
      <vt:lpstr>STTD фосфор метрика - ОЭ</vt:lpstr>
      <vt:lpstr>Доступный фосфор метрика - ОЭ</vt:lpstr>
    </vt:vector>
  </TitlesOfParts>
  <Company>Genus, Plc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mgoncalves</dc:creator>
  <cp:lastModifiedBy>Anton Roschupkin</cp:lastModifiedBy>
  <cp:lastPrinted>2019-01-01T10:17:16Z</cp:lastPrinted>
  <dcterms:created xsi:type="dcterms:W3CDTF">2016-02-24T09:53:59Z</dcterms:created>
  <dcterms:modified xsi:type="dcterms:W3CDTF">2022-03-31T10:03:03Z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0x01010084435929B912A24BBD8B2FFC0C87E709</vt:lpwstr>
  </property>
</Properties>
</file>