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Workbook________" defaultThemeVersion="124226"/>
  <mc:AlternateContent xmlns:mc="http://schemas.openxmlformats.org/markup-compatibility/2006">
    <mc:Choice Requires="x15">
      <x15ac:absPath xmlns:x15ac="http://schemas.microsoft.com/office/spreadsheetml/2010/11/ac" url="C:\Users\IZubtsov\OneDrive - Genus PLC\PIC\TECH INFO\NEW TECH\NUTRITION 2021\Tools\"/>
    </mc:Choice>
  </mc:AlternateContent>
  <xr:revisionPtr revIDLastSave="175" documentId="13_ncr:1_{82DC649A-A60D-4902-B3EF-FF7AA84ED318}" xr6:coauthVersionLast="44" xr6:coauthVersionMax="47" xr10:uidLastSave="{8CFEBF44-0C44-4A2E-9775-C5A0AACF29C8}"/>
  <workbookProtection workbookAlgorithmName="SHA-512" workbookHashValue="xHBUgfndJQ1KhFb4YnMQ39WXD4bHQmWrcWJfKYEXDmp0JzA+CDUT0De37Mj3uWs3QLiXFjBpCgld+nEGDs9JlQ==" workbookSaltValue="7g/NzKeKJoNjGQHAN0pqvA==" workbookSpinCount="100000" lockStructure="1"/>
  <bookViews>
    <workbookView xWindow="-108" yWindow="-108" windowWidth="23256" windowHeight="12576" xr2:uid="{00000000-000D-0000-FFFF-FFFF00000000}"/>
  </bookViews>
  <sheets>
    <sheet name="Инструкция" sheetId="9" r:id="rId1"/>
    <sheet name="Imperial - ME" sheetId="10" state="hidden" r:id="rId2"/>
    <sheet name="ОЭ Метрика" sheetId="6" r:id="rId3"/>
  </sheets>
  <definedNames>
    <definedName name="solver_adj" localSheetId="1" hidden="1">'Imperial - ME'!#REF!</definedName>
    <definedName name="solver_adj" localSheetId="0" hidden="1">Инструкция!#REF!</definedName>
    <definedName name="solver_adj" localSheetId="2" hidden="1">'ОЭ Метрика'!#REF!</definedName>
    <definedName name="solver_cvg" localSheetId="1" hidden="1">0.0001</definedName>
    <definedName name="solver_cvg" localSheetId="0" hidden="1">0.0001</definedName>
    <definedName name="solver_cvg" localSheetId="2" hidden="1">0.0001</definedName>
    <definedName name="solver_drv" localSheetId="1" hidden="1">1</definedName>
    <definedName name="solver_drv" localSheetId="0" hidden="1">1</definedName>
    <definedName name="solver_drv" localSheetId="2" hidden="1">1</definedName>
    <definedName name="solver_est" localSheetId="1" hidden="1">1</definedName>
    <definedName name="solver_est" localSheetId="0" hidden="1">1</definedName>
    <definedName name="solver_est" localSheetId="2" hidden="1">1</definedName>
    <definedName name="solver_itr" localSheetId="1" hidden="1">100</definedName>
    <definedName name="solver_itr" localSheetId="0" hidden="1">100</definedName>
    <definedName name="solver_itr" localSheetId="2" hidden="1">100</definedName>
    <definedName name="solver_lhs1" localSheetId="1" hidden="1">'Imperial - ME'!#REF!</definedName>
    <definedName name="solver_lhs1" localSheetId="0" hidden="1">Инструкция!#REF!</definedName>
    <definedName name="solver_lhs1" localSheetId="2" hidden="1">'ОЭ Метрика'!#REF!</definedName>
    <definedName name="solver_lhs2" localSheetId="1" hidden="1">'Imperial - ME'!#REF!</definedName>
    <definedName name="solver_lhs2" localSheetId="0" hidden="1">Инструкция!#REF!</definedName>
    <definedName name="solver_lhs2" localSheetId="2" hidden="1">'ОЭ Метрика'!#REF!</definedName>
    <definedName name="solver_lin" localSheetId="1" hidden="1">2</definedName>
    <definedName name="solver_lin" localSheetId="0" hidden="1">2</definedName>
    <definedName name="solver_lin" localSheetId="2" hidden="1">2</definedName>
    <definedName name="solver_neg" localSheetId="1" hidden="1">2</definedName>
    <definedName name="solver_neg" localSheetId="0" hidden="1">2</definedName>
    <definedName name="solver_neg" localSheetId="2" hidden="1">2</definedName>
    <definedName name="solver_num" localSheetId="1" hidden="1">2</definedName>
    <definedName name="solver_num" localSheetId="0" hidden="1">2</definedName>
    <definedName name="solver_num" localSheetId="2" hidden="1">2</definedName>
    <definedName name="solver_nwt" localSheetId="1" hidden="1">1</definedName>
    <definedName name="solver_nwt" localSheetId="0" hidden="1">1</definedName>
    <definedName name="solver_nwt" localSheetId="2" hidden="1">1</definedName>
    <definedName name="solver_opt" localSheetId="1" hidden="1">'Imperial - ME'!#REF!</definedName>
    <definedName name="solver_opt" localSheetId="0" hidden="1">Инструкция!#REF!</definedName>
    <definedName name="solver_opt" localSheetId="2" hidden="1">'ОЭ Метрика'!#REF!</definedName>
    <definedName name="solver_pre" localSheetId="1" hidden="1">0.000001</definedName>
    <definedName name="solver_pre" localSheetId="0" hidden="1">0.000001</definedName>
    <definedName name="solver_pre" localSheetId="2" hidden="1">0.000001</definedName>
    <definedName name="solver_rel1" localSheetId="1" hidden="1">2</definedName>
    <definedName name="solver_rel1" localSheetId="0" hidden="1">2</definedName>
    <definedName name="solver_rel1" localSheetId="2" hidden="1">2</definedName>
    <definedName name="solver_rel2" localSheetId="1" hidden="1">2</definedName>
    <definedName name="solver_rel2" localSheetId="0" hidden="1">2</definedName>
    <definedName name="solver_rel2" localSheetId="2" hidden="1">2</definedName>
    <definedName name="solver_rhs1" localSheetId="1" hidden="1">0</definedName>
    <definedName name="solver_rhs1" localSheetId="0" hidden="1">0</definedName>
    <definedName name="solver_rhs1" localSheetId="2" hidden="1">0</definedName>
    <definedName name="solver_rhs2" localSheetId="1" hidden="1">0</definedName>
    <definedName name="solver_rhs2" localSheetId="0" hidden="1">0</definedName>
    <definedName name="solver_rhs2" localSheetId="2" hidden="1">0</definedName>
    <definedName name="solver_scl" localSheetId="1" hidden="1">2</definedName>
    <definedName name="solver_scl" localSheetId="0" hidden="1">2</definedName>
    <definedName name="solver_scl" localSheetId="2" hidden="1">2</definedName>
    <definedName name="solver_sho" localSheetId="1" hidden="1">2</definedName>
    <definedName name="solver_sho" localSheetId="0" hidden="1">2</definedName>
    <definedName name="solver_sho" localSheetId="2" hidden="1">2</definedName>
    <definedName name="solver_tim" localSheetId="1" hidden="1">100</definedName>
    <definedName name="solver_tim" localSheetId="0" hidden="1">100</definedName>
    <definedName name="solver_tim" localSheetId="2" hidden="1">100</definedName>
    <definedName name="solver_tol" localSheetId="1" hidden="1">0.05</definedName>
    <definedName name="solver_tol" localSheetId="0" hidden="1">0.05</definedName>
    <definedName name="solver_tol" localSheetId="2" hidden="1">0.05</definedName>
    <definedName name="solver_typ" localSheetId="1" hidden="1">2</definedName>
    <definedName name="solver_typ" localSheetId="0" hidden="1">2</definedName>
    <definedName name="solver_typ" localSheetId="2" hidden="1">2</definedName>
    <definedName name="solver_val" localSheetId="1" hidden="1">0</definedName>
    <definedName name="solver_val" localSheetId="0" hidden="1">0</definedName>
    <definedName name="solver_val" localSheetId="2" hidden="1">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0" l="1"/>
  <c r="F31" i="10"/>
  <c r="G31" i="10"/>
  <c r="H31" i="10"/>
  <c r="I31" i="10"/>
  <c r="J31" i="10"/>
  <c r="J30" i="6"/>
  <c r="J19" i="6" l="1"/>
  <c r="E20" i="10"/>
  <c r="F20" i="10"/>
  <c r="G20" i="10"/>
  <c r="H20" i="10"/>
  <c r="I20" i="10"/>
  <c r="J20" i="10"/>
  <c r="J27" i="6" l="1"/>
  <c r="C12" i="10" l="1"/>
  <c r="C8" i="10"/>
  <c r="C22" i="10" s="1"/>
  <c r="D8" i="10"/>
  <c r="D22" i="10" s="1"/>
  <c r="C9" i="10"/>
  <c r="D9" i="10"/>
  <c r="J21" i="6"/>
  <c r="J22" i="6"/>
  <c r="J20" i="6" l="1"/>
  <c r="J3" i="6"/>
  <c r="E9" i="10"/>
  <c r="F9" i="10"/>
  <c r="G9" i="10"/>
  <c r="H9" i="10"/>
  <c r="I9" i="10"/>
  <c r="J9" i="10"/>
  <c r="D10" i="10"/>
  <c r="D23" i="10" s="1"/>
  <c r="D4" i="10" s="1"/>
  <c r="E8" i="10"/>
  <c r="F8" i="10"/>
  <c r="G8" i="10"/>
  <c r="H8" i="10"/>
  <c r="I8" i="10"/>
  <c r="J8" i="10"/>
  <c r="J22" i="10" s="1"/>
  <c r="D21" i="10" l="1"/>
  <c r="J10" i="10"/>
  <c r="C10" i="10"/>
  <c r="C23" i="10" s="1"/>
  <c r="F10" i="10"/>
  <c r="F23" i="10" s="1"/>
  <c r="F22" i="10"/>
  <c r="G10" i="10"/>
  <c r="G23" i="10" s="1"/>
  <c r="G22" i="10"/>
  <c r="I10" i="10"/>
  <c r="I23" i="10" s="1"/>
  <c r="I22" i="10"/>
  <c r="E10" i="10"/>
  <c r="E23" i="10" s="1"/>
  <c r="E22" i="10"/>
  <c r="H10" i="10"/>
  <c r="H23" i="10" s="1"/>
  <c r="H22" i="10"/>
  <c r="J29" i="6"/>
  <c r="E4" i="10" l="1"/>
  <c r="J23" i="10"/>
  <c r="B36" i="10" s="1"/>
  <c r="C36" i="10" s="1"/>
  <c r="H4" i="10"/>
  <c r="I4" i="10"/>
  <c r="F4" i="10"/>
  <c r="G4" i="10"/>
  <c r="C21" i="10"/>
  <c r="C30" i="10" s="1"/>
  <c r="C4" i="10"/>
  <c r="G21" i="10"/>
  <c r="E21" i="10"/>
  <c r="I21" i="10"/>
  <c r="F21" i="10"/>
  <c r="H21" i="10"/>
  <c r="D12" i="10"/>
  <c r="E12" i="10"/>
  <c r="F12" i="10"/>
  <c r="G12" i="10"/>
  <c r="H12" i="10"/>
  <c r="I12" i="10"/>
  <c r="J12" i="10"/>
  <c r="D13" i="10"/>
  <c r="E13" i="10"/>
  <c r="F13" i="10"/>
  <c r="G13" i="10"/>
  <c r="H13" i="10"/>
  <c r="I13" i="10"/>
  <c r="J13" i="10"/>
  <c r="C13" i="10"/>
  <c r="C7" i="6"/>
  <c r="C21" i="6" s="1"/>
  <c r="D7" i="6"/>
  <c r="D21" i="6" s="1"/>
  <c r="E7" i="6"/>
  <c r="E21" i="6" s="1"/>
  <c r="F7" i="6"/>
  <c r="F21" i="6" s="1"/>
  <c r="G7" i="6"/>
  <c r="G21" i="6" s="1"/>
  <c r="H7" i="6"/>
  <c r="H21" i="6" s="1"/>
  <c r="I7" i="6"/>
  <c r="I21" i="6" s="1"/>
  <c r="J7" i="6"/>
  <c r="D8" i="6"/>
  <c r="E8" i="6"/>
  <c r="F8" i="6"/>
  <c r="G8" i="6"/>
  <c r="H8" i="6"/>
  <c r="I8" i="6"/>
  <c r="J8" i="6"/>
  <c r="C8" i="6"/>
  <c r="J4" i="10" l="1"/>
  <c r="J21" i="10"/>
  <c r="J30" i="10" s="1"/>
  <c r="J9" i="6"/>
  <c r="J14" i="10"/>
  <c r="I14" i="10"/>
  <c r="H14" i="10"/>
  <c r="F14" i="10"/>
  <c r="E14" i="10"/>
  <c r="D14" i="10"/>
  <c r="F9" i="6"/>
  <c r="G14" i="10"/>
  <c r="C14" i="10"/>
  <c r="I9" i="6"/>
  <c r="E9" i="6"/>
  <c r="E22" i="6" s="1"/>
  <c r="E3" i="6" s="1"/>
  <c r="H9" i="6"/>
  <c r="D9" i="6"/>
  <c r="D22" i="6" s="1"/>
  <c r="G9" i="6"/>
  <c r="C9" i="6"/>
  <c r="I11" i="6"/>
  <c r="J11" i="6"/>
  <c r="I12" i="6"/>
  <c r="J12" i="6"/>
  <c r="J13" i="6" l="1"/>
  <c r="J18" i="10"/>
  <c r="J19" i="10" s="1"/>
  <c r="J17" i="10"/>
  <c r="J26" i="10" s="1"/>
  <c r="D20" i="6"/>
  <c r="D29" i="6" s="1"/>
  <c r="D3" i="6"/>
  <c r="C22" i="6"/>
  <c r="C17" i="10"/>
  <c r="H22" i="6"/>
  <c r="E20" i="6"/>
  <c r="E29" i="6" s="1"/>
  <c r="G22" i="6"/>
  <c r="I22" i="6"/>
  <c r="F22" i="6"/>
  <c r="I13" i="6"/>
  <c r="J16" i="6"/>
  <c r="J17" i="6"/>
  <c r="J18" i="6" s="1"/>
  <c r="J26" i="6"/>
  <c r="J28" i="10" l="1"/>
  <c r="J27" i="10"/>
  <c r="J29" i="10"/>
  <c r="I20" i="6"/>
  <c r="I29" i="6" s="1"/>
  <c r="I3" i="6"/>
  <c r="G20" i="6"/>
  <c r="G29" i="6" s="1"/>
  <c r="G3" i="6"/>
  <c r="C20" i="6"/>
  <c r="C29" i="6" s="1"/>
  <c r="B35" i="6"/>
  <c r="C35" i="6" s="1"/>
  <c r="C3" i="6"/>
  <c r="F20" i="6"/>
  <c r="F29" i="6" s="1"/>
  <c r="F3" i="6"/>
  <c r="H20" i="6"/>
  <c r="H29" i="6" s="1"/>
  <c r="H3" i="6"/>
  <c r="C26" i="10"/>
  <c r="C18" i="10"/>
  <c r="C20" i="10" s="1"/>
  <c r="E30" i="10"/>
  <c r="E17" i="10"/>
  <c r="E26" i="10" s="1"/>
  <c r="E18" i="10"/>
  <c r="G30" i="10"/>
  <c r="G17" i="10"/>
  <c r="G26" i="10" s="1"/>
  <c r="G18" i="10"/>
  <c r="I30" i="10"/>
  <c r="I17" i="10"/>
  <c r="I26" i="10" s="1"/>
  <c r="I18" i="10"/>
  <c r="D30" i="10"/>
  <c r="D18" i="10"/>
  <c r="D19" i="10" s="1"/>
  <c r="D17" i="10"/>
  <c r="F30" i="10"/>
  <c r="F17" i="10"/>
  <c r="F26" i="10" s="1"/>
  <c r="F18" i="10"/>
  <c r="H30" i="10"/>
  <c r="H18" i="10"/>
  <c r="H17" i="10"/>
  <c r="H26" i="10" s="1"/>
  <c r="J25" i="6"/>
  <c r="J28" i="6"/>
  <c r="D26" i="10" l="1"/>
  <c r="D20" i="10"/>
  <c r="I19" i="10"/>
  <c r="I28" i="10" s="1"/>
  <c r="I17" i="6"/>
  <c r="I18" i="6" s="1"/>
  <c r="I27" i="6" s="1"/>
  <c r="I16" i="6"/>
  <c r="C19" i="10"/>
  <c r="F19" i="10"/>
  <c r="F28" i="10" s="1"/>
  <c r="E19" i="10"/>
  <c r="E28" i="10" s="1"/>
  <c r="G19" i="10"/>
  <c r="G28" i="10" s="1"/>
  <c r="H19" i="10"/>
  <c r="H28" i="10" s="1"/>
  <c r="D29" i="10"/>
  <c r="D28" i="10"/>
  <c r="D27" i="10"/>
  <c r="E27" i="10"/>
  <c r="H29" i="10"/>
  <c r="H27" i="10"/>
  <c r="I27" i="10"/>
  <c r="C27" i="10"/>
  <c r="F27" i="10"/>
  <c r="G29" i="10"/>
  <c r="G27" i="10"/>
  <c r="J32" i="10"/>
  <c r="J31" i="6"/>
  <c r="I25" i="6" l="1"/>
  <c r="I19" i="6"/>
  <c r="I28" i="6" s="1"/>
  <c r="D31" i="10"/>
  <c r="B38" i="10"/>
  <c r="C38" i="10" s="1"/>
  <c r="C28" i="10"/>
  <c r="I26" i="6"/>
  <c r="D32" i="10"/>
  <c r="C32" i="10"/>
  <c r="C29" i="10"/>
  <c r="C31" i="10" s="1"/>
  <c r="G32" i="10"/>
  <c r="H32" i="10"/>
  <c r="F29" i="10"/>
  <c r="F32" i="10"/>
  <c r="I29" i="10"/>
  <c r="I32" i="10"/>
  <c r="E29" i="10"/>
  <c r="E32" i="10"/>
  <c r="I30" i="6" l="1"/>
  <c r="B28" i="10"/>
  <c r="B19" i="10"/>
  <c r="I31" i="6"/>
  <c r="C12" i="6"/>
  <c r="D11" i="6"/>
  <c r="E11" i="6"/>
  <c r="F11" i="6"/>
  <c r="G11" i="6"/>
  <c r="H11" i="6"/>
  <c r="D12" i="6"/>
  <c r="E12" i="6"/>
  <c r="F12" i="6"/>
  <c r="G12" i="6"/>
  <c r="H12" i="6"/>
  <c r="C11" i="6"/>
  <c r="C13" i="6" l="1"/>
  <c r="C16" i="6" s="1"/>
  <c r="F13" i="6"/>
  <c r="F16" i="6" s="1"/>
  <c r="E13" i="6"/>
  <c r="H13" i="6"/>
  <c r="D13" i="6"/>
  <c r="G13" i="6"/>
  <c r="C17" i="6" l="1"/>
  <c r="C18" i="6" s="1"/>
  <c r="F17" i="6"/>
  <c r="F18" i="6" s="1"/>
  <c r="F27" i="6" s="1"/>
  <c r="G16" i="6"/>
  <c r="G17" i="6"/>
  <c r="G18" i="6" s="1"/>
  <c r="G27" i="6" s="1"/>
  <c r="H17" i="6"/>
  <c r="H18" i="6" s="1"/>
  <c r="H27" i="6" s="1"/>
  <c r="H16" i="6"/>
  <c r="D17" i="6"/>
  <c r="D16" i="6"/>
  <c r="E17" i="6"/>
  <c r="E18" i="6" s="1"/>
  <c r="E16" i="6"/>
  <c r="C25" i="6"/>
  <c r="F25" i="6"/>
  <c r="H25" i="6" l="1"/>
  <c r="H19" i="6"/>
  <c r="G25" i="6"/>
  <c r="G19" i="6"/>
  <c r="G28" i="6" s="1"/>
  <c r="F19" i="6"/>
  <c r="F28" i="6" s="1"/>
  <c r="E25" i="6"/>
  <c r="E19" i="6"/>
  <c r="E28" i="6" s="1"/>
  <c r="C19" i="6"/>
  <c r="C31" i="6" s="1"/>
  <c r="D25" i="6"/>
  <c r="D19" i="6"/>
  <c r="D28" i="6" s="1"/>
  <c r="C26" i="6"/>
  <c r="C27" i="6"/>
  <c r="D18" i="6"/>
  <c r="D27" i="6" s="1"/>
  <c r="E26" i="6"/>
  <c r="E27" i="6"/>
  <c r="F26" i="6"/>
  <c r="H26" i="6"/>
  <c r="G26" i="6"/>
  <c r="D26" i="6"/>
  <c r="F30" i="6" l="1"/>
  <c r="G30" i="6"/>
  <c r="H30" i="6"/>
  <c r="E30" i="6"/>
  <c r="D30" i="6"/>
  <c r="B37" i="6"/>
  <c r="C28" i="6"/>
  <c r="C30" i="6" s="1"/>
  <c r="H31" i="6"/>
  <c r="H28" i="6"/>
  <c r="E31" i="6"/>
  <c r="G31" i="6"/>
  <c r="F31" i="6"/>
  <c r="D31" i="6"/>
  <c r="B18" i="6" l="1"/>
  <c r="B27" i="6"/>
  <c r="C37" i="6"/>
</calcChain>
</file>

<file path=xl/sharedStrings.xml><?xml version="1.0" encoding="utf-8"?>
<sst xmlns="http://schemas.openxmlformats.org/spreadsheetml/2006/main" count="46" uniqueCount="28">
  <si>
    <t>Energy level, NRC ME kcal/lb</t>
  </si>
  <si>
    <t>Weight In, lb</t>
  </si>
  <si>
    <t>Weight Out, lb</t>
  </si>
  <si>
    <t>Weight In, kg</t>
  </si>
  <si>
    <t>Weight Out, kg</t>
  </si>
  <si>
    <t>SID Lys, grams:Mcal ME</t>
  </si>
  <si>
    <t xml:space="preserve">     Barrows</t>
  </si>
  <si>
    <t xml:space="preserve">     Gilts</t>
  </si>
  <si>
    <t xml:space="preserve">     Boars</t>
  </si>
  <si>
    <t xml:space="preserve">     Barrows and Gilts</t>
  </si>
  <si>
    <t xml:space="preserve">85% of PIC as min @beginning </t>
  </si>
  <si>
    <t>100% of PIC on average</t>
  </si>
  <si>
    <t>SID Lys, % of the diet</t>
  </si>
  <si>
    <t xml:space="preserve">     Boars and Gilts</t>
  </si>
  <si>
    <t>% SID Lys (Boars:Barrows)</t>
  </si>
  <si>
    <t>α</t>
  </si>
  <si>
    <t>The SID Lys to energy ratios meet the biological requirements for PIC 327, 337, and 359 sired pigs. PIC suggests to utilize 99% of the tool estimates for PIC 380, 408, and 410 sired pigs; and 97% for PIC 800 sired pigs to achieve the biological requirements of these sirelines.</t>
  </si>
  <si>
    <t>Стартовый вес , кг</t>
  </si>
  <si>
    <t>Финишный вес, кг</t>
  </si>
  <si>
    <t>SID Лиз, % в рационе</t>
  </si>
  <si>
    <t>SID Лиз, г:Мкал ОЭ</t>
  </si>
  <si>
    <t xml:space="preserve">     Хрячки</t>
  </si>
  <si>
    <t xml:space="preserve">     Свинки</t>
  </si>
  <si>
    <t xml:space="preserve">     Хряки</t>
  </si>
  <si>
    <t xml:space="preserve">     Хрячки и свинки</t>
  </si>
  <si>
    <t xml:space="preserve">     Хряки и  свинки</t>
  </si>
  <si>
    <t>Уровень энергии, NRC ОЭ ккал/кг</t>
  </si>
  <si>
    <t>Соотношение SID Lys к энергии соответствует биологическим требованиям для потомства PIC 327, 337 и 359. PIC предлагает использовать 99% на основе расчёта инструмента  для потомства PIC  380, 408 и 410 и 97% для потомства PIC  800 для достижения биологических требований этих линий.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</si>
</sst>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</font>
    <font>
      <b/>
      <sz val="16"/>
      <color rgb="FF0070C0"/>
      <name val="Calibri"/>
      <family val="2"/>
      <scheme val="minor"/>
    </font>
    <font>
      <b/>
      <vertAlign val="superscript"/>
      <sz val="16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0" fillId="0" borderId="1" xfId="0" applyNumberForma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0" fontId="2" fillId="0" borderId="0" xfId="1" applyNumberFormat="1" applyFont="1" applyFill="1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0" fontId="0" fillId="0" borderId="0" xfId="1" applyNumberFormat="1" applyFont="1" applyFill="1" applyBorder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10" fontId="8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1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wrapText="1"/>
      <protection hidden="1"/>
    </xf>
  </cellXfs>
  <cellStyles count="2">
    <cellStyle name="Normal" xfId="0" builtinId="0"/>
    <cellStyle name="Percent" xfId="1" builtinId="5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396241</xdr:colOff>
      <xdr:row>6</xdr:row>
      <xdr:rowOff>148590</xdr:rowOff>
    </xdr:from>
    <xdr:ext cx="7766684" cy="776302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03083EE-FA53-4594-9D1B-A6040BFF9FAD}"/>
            </a:ext>
          </a:extLst>
        </xdr:cNvPr>
        <xdr:cNvSpPr txBox="1"/>
      </xdr:nvSpPr>
      <xdr:spPr>
        <a:xfrm>
          <a:off x="396241" y="1386840"/>
          <a:ext cx="7766684" cy="776302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Руководство</a:t>
          </a:r>
          <a:r>
            <a:rPr lang="ru-RU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пользователя</a:t>
          </a:r>
          <a:r>
            <a:rPr lang="en-US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endParaRPr lang="en-US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Выберите  вариант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US" sz="1400"/>
        </a:p>
        <a:p>
          <a:r>
            <a:rPr lang="en-US" sz="1400"/>
            <a:t>	</a:t>
          </a:r>
          <a:r>
            <a:rPr lang="ru-RU" sz="1400"/>
            <a:t>Используете метрическую систему на основе обменной энергии ,вкладка</a:t>
          </a:r>
          <a:r>
            <a:rPr lang="ru-RU" sz="1400" baseline="0"/>
            <a:t> ОЭ Метрика.</a:t>
          </a:r>
        </a:p>
        <a:p>
          <a:r>
            <a:rPr lang="ru-RU" sz="1400" baseline="0"/>
            <a:t>               </a:t>
          </a:r>
          <a:endParaRPr lang="en-US" sz="1400"/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Введите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исходные параметры в яйчейки выделенные желтым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sz="1400"/>
            <a:t> </a:t>
          </a:r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Введите желаемый диапазон массы тела для каждой фазы кормления.</a:t>
          </a:r>
          <a:endParaRPr lang="en-US" sz="1400"/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Введите свой текущий уровень энергии в рационе для каждой фазы кормления.</a:t>
          </a:r>
          <a:endParaRPr lang="en-US" sz="1400"/>
        </a:p>
        <a:p>
          <a:r>
            <a:rPr lang="en-US" sz="1400"/>
            <a:t>	</a:t>
          </a:r>
          <a:endParaRPr lang="en-US" sz="1400" b="1"/>
        </a:p>
        <a:p>
          <a:r>
            <a:rPr lang="ru-RU" sz="1400" b="1"/>
            <a:t>Результаты</a:t>
          </a:r>
          <a:r>
            <a:rPr lang="en-US" sz="1400" b="1"/>
            <a:t>:</a:t>
          </a:r>
        </a:p>
        <a:p>
          <a:endParaRPr lang="en-US" sz="1400" b="1"/>
        </a:p>
        <a:p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Инструмент выводит граммы стандартизированного перевариваемого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SID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Лизина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необходимого для хрячков, свинок, хряков, смешанного товарного поголовья с хрячками и свиньями в каждом диапазоне массы тела.</a:t>
          </a:r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Если введен уровень энергии, инструмент выводит значения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SID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лизина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необходимые свиньям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 процентах от рациона.</a:t>
          </a:r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Используйте рекомендации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SID Lys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хряков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за 3-4 недели до выхода на реализацию и   рекомендации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SID Lys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для хрячков, если планируется реализация иммунокастрированных животных.</a:t>
          </a:r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Дополнительная информация</a:t>
          </a:r>
          <a:r>
            <a:rPr 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:</a:t>
          </a:r>
          <a:endParaRPr lang="ru-RU" sz="14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en-US" sz="14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Анализ основанный на 29 испытаниях, проведенных в период с 2013 по 2020 год в условиях  товарного производства с 48 388 свиньями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PIC,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позволил разработать инструмент для определения потребности в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SID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Лизине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свиней весом от 11 до 150 кг.</a:t>
          </a:r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Модель была разработана для товарных животных без разделения по полу (хрячки и свинки), и потребности хрячков и свинок были оценены на основе ожидаемых различий в соответствии с кривой роста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337.</a:t>
          </a:r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Оценки потребности представляют собой среднее значение между потребностью в среднесуточном приросте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 конверсией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На этих уровнях достигается 100% максимального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ADG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 99,4% уровня нормативной конверсии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 </a:t>
          </a:r>
          <a:r>
            <a:rPr lang="ru-RU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Энергетическая составляющая  состава рациона основана на  данных базы </a:t>
          </a:r>
          <a:r>
            <a:rPr lang="en-US" sz="14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NRC (2012).</a:t>
          </a:r>
        </a:p>
        <a:p>
          <a:endParaRPr lang="en-US" sz="1400" b="0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 любым возникающим вопросам обращайтесь</a:t>
          </a:r>
          <a:r>
            <a:rPr 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 техническую службу </a:t>
          </a:r>
          <a:r>
            <a:rPr 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</a:t>
          </a:r>
          <a:r>
            <a:rPr lang="ru-RU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Россия</a:t>
          </a:r>
          <a:r>
            <a:rPr lang="en-US" sz="14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11</xdr:col>
      <xdr:colOff>548640</xdr:colOff>
      <xdr:row>6</xdr:row>
      <xdr:rowOff>144002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BCFAE34-3DAE-461D-9CAC-E3D873F6B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68640" cy="1382252"/>
        </a:xfrm>
        <a:prstGeom prst="rect">
          <a:avLst/>
        </a:prstGeom>
      </xdr:spPr>
    </xdr:pic>
    <xdr:clientData/>
  </xdr:twoCellAnchor>
  <xdr:twoCellAnchor>
    <xdr:from>
      <xdr:col>0</xdr:col>
      <xdr:colOff>1362075</xdr:colOff>
      <xdr:row>0</xdr:row>
      <xdr:rowOff>0</xdr:rowOff>
    </xdr:from>
    <xdr:to>
      <xdr:col>8</xdr:col>
      <xdr:colOff>428625</xdr:colOff>
      <xdr:row>5</xdr:row>
      <xdr:rowOff>94615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53EDB2-7E16-4E70-ADA6-D0672855F940}"/>
            </a:ext>
          </a:extLst>
        </xdr:cNvPr>
        <xdr:cNvSpPr txBox="1"/>
      </xdr:nvSpPr>
      <xdr:spPr>
        <a:xfrm>
          <a:off x="1362075" y="0"/>
          <a:ext cx="4857750" cy="1151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Биологические потребности в </a:t>
          </a: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SID </a:t>
          </a:r>
          <a:r>
            <a:rPr kumimoji="0" lang="ru-RU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Лизине для</a:t>
          </a: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ru-RU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свиней</a:t>
          </a:r>
          <a:r>
            <a:rPr kumimoji="0" lang="en-US" sz="2800" b="1" i="0" u="none" strike="noStrike" kern="0" cap="none" spc="0" normalizeH="0" baseline="0" noProof="0">
              <a:ln>
                <a:noFill/>
              </a:ln>
              <a:solidFill>
                <a:srgbClr val="225480"/>
              </a:solidFill>
              <a:effectLst/>
              <a:uLnTx/>
              <a:uFillTx/>
              <a:latin typeface="+mn-lt"/>
              <a:ea typeface="+mn-ea"/>
              <a:cs typeface="+mn-cs"/>
            </a:rPr>
            <a:t> PIC</a:t>
          </a:r>
          <a:endParaRPr kumimoji="0" lang="en-US" sz="2800" b="1" i="0" u="none" strike="noStrike" kern="0" cap="none" spc="0" normalizeH="0" baseline="30000" noProof="0">
            <a:ln>
              <a:noFill/>
            </a:ln>
            <a:solidFill>
              <a:srgbClr val="22548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lang="en-US" sz="2800" b="1">
            <a:solidFill>
              <a:srgbClr val="22548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16827</xdr:colOff>
      <xdr:row>1</xdr:row>
      <xdr:rowOff>2714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31BB73-2919-48DE-8A3A-E5D037931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68640" cy="1391777"/>
        </a:xfrm>
        <a:prstGeom prst="rect">
          <a:avLst/>
        </a:prstGeom>
      </xdr:spPr>
    </xdr:pic>
    <xdr:clientData/>
  </xdr:twoCellAnchor>
  <xdr:twoCellAnchor>
    <xdr:from>
      <xdr:col>1</xdr:col>
      <xdr:colOff>791528</xdr:colOff>
      <xdr:row>0</xdr:row>
      <xdr:rowOff>0</xdr:rowOff>
    </xdr:from>
    <xdr:to>
      <xdr:col>7</xdr:col>
      <xdr:colOff>628650</xdr:colOff>
      <xdr:row>0</xdr:row>
      <xdr:rowOff>1161414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0D0048-0A57-4AAE-A1DB-F7425D720DAC}"/>
            </a:ext>
          </a:extLst>
        </xdr:cNvPr>
        <xdr:cNvSpPr txBox="1"/>
      </xdr:nvSpPr>
      <xdr:spPr>
        <a:xfrm>
          <a:off x="1401128" y="0"/>
          <a:ext cx="4898072" cy="1161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2800" b="1">
              <a:solidFill>
                <a:srgbClr val="225480"/>
              </a:solidFill>
            </a:rPr>
            <a:t>SID</a:t>
          </a:r>
          <a:r>
            <a:rPr lang="en-US" sz="2800" b="1" baseline="0">
              <a:solidFill>
                <a:srgbClr val="225480"/>
              </a:solidFill>
            </a:rPr>
            <a:t> Lysine Biological Requirement for PIC Pigs</a:t>
          </a:r>
          <a:r>
            <a:rPr lang="el-GR" sz="2800" b="1" baseline="30000">
              <a:solidFill>
                <a:srgbClr val="225480"/>
              </a:solidFill>
            </a:rPr>
            <a:t>α</a:t>
          </a:r>
          <a:endParaRPr lang="en-US" sz="2800" b="1" baseline="30000">
            <a:solidFill>
              <a:srgbClr val="22548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658091</xdr:colOff>
      <xdr:row>0</xdr:row>
      <xdr:rowOff>1391777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68D1E8-8EC4-4192-B1BE-1B37BF73D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04909" cy="1391777"/>
        </a:xfrm>
        <a:prstGeom prst="rect">
          <a:avLst/>
        </a:prstGeom>
      </xdr:spPr>
    </xdr:pic>
    <xdr:clientData/>
  </xdr:twoCellAnchor>
  <xdr:twoCellAnchor>
    <xdr:from>
      <xdr:col>1</xdr:col>
      <xdr:colOff>840104</xdr:colOff>
      <xdr:row>0</xdr:row>
      <xdr:rowOff>0</xdr:rowOff>
    </xdr:from>
    <xdr:to>
      <xdr:col>8</xdr:col>
      <xdr:colOff>14921</xdr:colOff>
      <xdr:row>0</xdr:row>
      <xdr:rowOff>1162685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658E98-F515-44C8-A66E-105FFE756899}"/>
            </a:ext>
          </a:extLst>
        </xdr:cNvPr>
        <xdr:cNvSpPr txBox="1"/>
      </xdr:nvSpPr>
      <xdr:spPr>
        <a:xfrm>
          <a:off x="1428922" y="0"/>
          <a:ext cx="4716635" cy="116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ru-RU" sz="2800" b="1" baseline="0">
              <a:solidFill>
                <a:srgbClr val="225480"/>
              </a:solidFill>
            </a:rPr>
            <a:t>Биологические потребности в </a:t>
          </a:r>
          <a:r>
            <a:rPr lang="en-US" sz="2800" b="1" baseline="0">
              <a:solidFill>
                <a:srgbClr val="225480"/>
              </a:solidFill>
            </a:rPr>
            <a:t>SID </a:t>
          </a:r>
          <a:r>
            <a:rPr lang="ru-RU" sz="2800" b="1" baseline="0">
              <a:solidFill>
                <a:srgbClr val="225480"/>
              </a:solidFill>
            </a:rPr>
            <a:t>Лизине для</a:t>
          </a:r>
          <a:r>
            <a:rPr lang="en-US" sz="2800" b="1" baseline="0">
              <a:solidFill>
                <a:srgbClr val="225480"/>
              </a:solidFill>
            </a:rPr>
            <a:t> </a:t>
          </a:r>
          <a:r>
            <a:rPr lang="ru-RU" sz="2800" b="1" baseline="0">
              <a:solidFill>
                <a:srgbClr val="225480"/>
              </a:solidFill>
            </a:rPr>
            <a:t>свиней</a:t>
          </a:r>
          <a:r>
            <a:rPr lang="en-US" sz="2800" b="1" baseline="0">
              <a:solidFill>
                <a:srgbClr val="225480"/>
              </a:solidFill>
            </a:rPr>
            <a:t> PIC</a:t>
          </a:r>
          <a:r>
            <a:rPr lang="el-GR" sz="2800" b="1" baseline="30000">
              <a:solidFill>
                <a:srgbClr val="225480"/>
              </a:solidFill>
            </a:rPr>
            <a:t>α</a:t>
          </a:r>
          <a:endParaRPr lang="en-US" sz="2800" b="1" baseline="30000">
            <a:solidFill>
              <a:srgbClr val="22548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/>
  <dimension ref="B1:F5"/>
  <sheetViews>
    <sheetView showGridLines="0" showRowColHeaders="0" tabSelected="1" zoomScaleNormal="100" workbookViewId="0">
      <selection activeCell="K2" sqref="K2"/>
    </sheetView>
  </sheetViews>
  <sheetFormatPr defaultRowHeight="14.4" x14ac:dyDescent="0.3"/>
  <cols>
    <col min="1" max="1" width="22.33203125" bestFit="1" customWidth="1"/>
    <col min="2" max="6" width="8.88671875" style="1"/>
  </cols>
  <sheetData>
    <row r="1" spans="2:6" s="7" customFormat="1" ht="24" customHeight="1" x14ac:dyDescent="0.3">
      <c r="B1" s="6"/>
      <c r="C1" s="6"/>
      <c r="D1" s="6"/>
      <c r="E1" s="6"/>
      <c r="F1" s="6"/>
    </row>
    <row r="2" spans="2:6" s="7" customFormat="1" ht="24" customHeight="1" x14ac:dyDescent="0.3">
      <c r="B2" s="6"/>
      <c r="C2" s="6"/>
      <c r="D2" s="6"/>
      <c r="E2" s="6"/>
      <c r="F2" s="6"/>
    </row>
    <row r="3" spans="2:6" s="7" customFormat="1" ht="10.199999999999999" customHeight="1" x14ac:dyDescent="0.3">
      <c r="B3" s="6"/>
      <c r="C3" s="6"/>
      <c r="D3" s="6"/>
      <c r="E3" s="6"/>
      <c r="F3" s="6"/>
    </row>
    <row r="4" spans="2:6" s="7" customFormat="1" ht="10.199999999999999" customHeight="1" x14ac:dyDescent="0.3">
      <c r="B4" s="6"/>
      <c r="C4" s="6"/>
      <c r="D4" s="6"/>
      <c r="E4" s="6"/>
      <c r="F4" s="6"/>
    </row>
    <row r="5" spans="2:6" x14ac:dyDescent="0.3">
      <c r="B5" s="3"/>
    </row>
  </sheetData>
  <sheetProtection algorithmName="SHA-512" hashValue="EhdvBWwdn5OmRS/KCSVaM8DdoRNf9aYOsQCAJB1P23C5G0Qma7XtNqOmXGgRQKI7Px7Okn/cYBf8ad1c+JoiBA==" saltValue="ei2EoY8UDNEvAJUPrkZUow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AC4A-243A-4C80-98E7-69F52ED46C0E}">
  <sheetPr codeName="Worksheet____2"/>
  <dimension ref="B1:K42"/>
  <sheetViews>
    <sheetView showGridLines="0" showRowColHeaders="0" topLeftCell="A7" zoomScale="115" zoomScaleNormal="115" workbookViewId="0">
      <selection activeCell="N19" sqref="N19"/>
    </sheetView>
  </sheetViews>
  <sheetFormatPr defaultColWidth="8.88671875" defaultRowHeight="14.4" x14ac:dyDescent="0.3"/>
  <cols>
    <col min="1" max="1" width="8.88671875" style="8"/>
    <col min="2" max="2" width="27" style="8" customWidth="1"/>
    <col min="3" max="7" width="9.33203125" style="9" customWidth="1"/>
    <col min="8" max="10" width="9.33203125" style="8" customWidth="1"/>
    <col min="11" max="16384" width="8.88671875" style="8"/>
  </cols>
  <sheetData>
    <row r="1" spans="2:10" ht="109.95" customHeight="1" x14ac:dyDescent="0.3"/>
    <row r="2" spans="2:10" x14ac:dyDescent="0.3">
      <c r="B2" s="10"/>
      <c r="H2" s="9"/>
    </row>
    <row r="3" spans="2:10" x14ac:dyDescent="0.3">
      <c r="B3" s="10" t="s">
        <v>0</v>
      </c>
      <c r="C3" s="2">
        <v>1400</v>
      </c>
      <c r="D3" s="2">
        <v>1400</v>
      </c>
      <c r="E3" s="2"/>
      <c r="F3" s="2"/>
      <c r="G3" s="2"/>
      <c r="H3" s="2"/>
      <c r="I3" s="2"/>
      <c r="J3" s="2"/>
    </row>
    <row r="4" spans="2:10" ht="15.6" x14ac:dyDescent="0.3">
      <c r="C4" s="21" t="str">
        <f>IF(C23&lt;C22,"!", " ")</f>
        <v>!</v>
      </c>
      <c r="D4" s="21" t="str">
        <f t="shared" ref="D4:J4" si="0">IF(D23&lt;D22,"!", " ")</f>
        <v xml:space="preserve"> </v>
      </c>
      <c r="E4" s="21" t="str">
        <f t="shared" si="0"/>
        <v xml:space="preserve"> </v>
      </c>
      <c r="F4" s="21" t="str">
        <f t="shared" si="0"/>
        <v xml:space="preserve"> </v>
      </c>
      <c r="G4" s="21" t="str">
        <f t="shared" si="0"/>
        <v xml:space="preserve"> </v>
      </c>
      <c r="H4" s="21" t="str">
        <f t="shared" si="0"/>
        <v xml:space="preserve"> </v>
      </c>
      <c r="I4" s="21" t="str">
        <f t="shared" si="0"/>
        <v xml:space="preserve"> </v>
      </c>
      <c r="J4" s="21" t="str">
        <f t="shared" si="0"/>
        <v xml:space="preserve"> </v>
      </c>
    </row>
    <row r="5" spans="2:10" x14ac:dyDescent="0.3">
      <c r="B5" s="10" t="s">
        <v>1</v>
      </c>
      <c r="C5" s="2">
        <v>25</v>
      </c>
      <c r="D5" s="2">
        <v>200</v>
      </c>
      <c r="E5" s="2"/>
      <c r="F5" s="2"/>
      <c r="G5" s="2"/>
      <c r="H5" s="2"/>
      <c r="I5" s="2"/>
      <c r="J5" s="2"/>
    </row>
    <row r="6" spans="2:10" x14ac:dyDescent="0.3">
      <c r="B6" s="10" t="s">
        <v>2</v>
      </c>
      <c r="C6" s="2">
        <v>200</v>
      </c>
      <c r="D6" s="2">
        <v>330</v>
      </c>
      <c r="E6" s="2"/>
      <c r="F6" s="2"/>
      <c r="G6" s="2"/>
      <c r="H6" s="2"/>
      <c r="I6" s="2"/>
      <c r="J6" s="2"/>
    </row>
    <row r="8" spans="2:10" hidden="1" x14ac:dyDescent="0.3">
      <c r="B8" s="8" t="s">
        <v>1</v>
      </c>
      <c r="C8" s="11">
        <f>IF(C5="","",C5)</f>
        <v>25</v>
      </c>
      <c r="D8" s="11">
        <f t="shared" ref="D8" si="1">IF(D5="","",D5)</f>
        <v>200</v>
      </c>
      <c r="E8" s="11" t="str">
        <f t="shared" ref="E8:J8" si="2">IF(E5="","",E5)</f>
        <v/>
      </c>
      <c r="F8" s="11" t="str">
        <f t="shared" si="2"/>
        <v/>
      </c>
      <c r="G8" s="11" t="str">
        <f t="shared" si="2"/>
        <v/>
      </c>
      <c r="H8" s="11" t="str">
        <f t="shared" si="2"/>
        <v/>
      </c>
      <c r="I8" s="11" t="str">
        <f t="shared" si="2"/>
        <v/>
      </c>
      <c r="J8" s="11" t="str">
        <f t="shared" si="2"/>
        <v/>
      </c>
    </row>
    <row r="9" spans="2:10" hidden="1" x14ac:dyDescent="0.3">
      <c r="B9" s="8" t="s">
        <v>2</v>
      </c>
      <c r="C9" s="11">
        <f t="shared" ref="C9:D9" si="3">IF(C6="","",C6)</f>
        <v>200</v>
      </c>
      <c r="D9" s="11">
        <f t="shared" si="3"/>
        <v>330</v>
      </c>
      <c r="E9" s="11" t="str">
        <f t="shared" ref="E9:J9" si="4">IF(E6="","",E6)</f>
        <v/>
      </c>
      <c r="F9" s="11" t="str">
        <f t="shared" si="4"/>
        <v/>
      </c>
      <c r="G9" s="11" t="str">
        <f t="shared" si="4"/>
        <v/>
      </c>
      <c r="H9" s="11" t="str">
        <f t="shared" si="4"/>
        <v/>
      </c>
      <c r="I9" s="11" t="str">
        <f t="shared" si="4"/>
        <v/>
      </c>
      <c r="J9" s="11" t="str">
        <f t="shared" si="4"/>
        <v/>
      </c>
    </row>
    <row r="10" spans="2:10" hidden="1" x14ac:dyDescent="0.3">
      <c r="C10" s="12">
        <f>IFERROR(IF(C8&gt;0,AVERAGE(C8:C9)," "),"")</f>
        <v>112.5</v>
      </c>
      <c r="D10" s="12">
        <f t="shared" ref="D10:J10" si="5">IFERROR(IF(D8&gt;0,AVERAGE(D8:D9)," "),"")</f>
        <v>265</v>
      </c>
      <c r="E10" s="12" t="str">
        <f t="shared" si="5"/>
        <v/>
      </c>
      <c r="F10" s="12" t="str">
        <f t="shared" si="5"/>
        <v/>
      </c>
      <c r="G10" s="12" t="str">
        <f t="shared" si="5"/>
        <v/>
      </c>
      <c r="H10" s="12" t="str">
        <f t="shared" si="5"/>
        <v/>
      </c>
      <c r="I10" s="12" t="str">
        <f t="shared" si="5"/>
        <v/>
      </c>
      <c r="J10" s="12" t="str">
        <f t="shared" si="5"/>
        <v/>
      </c>
    </row>
    <row r="11" spans="2:10" hidden="1" x14ac:dyDescent="0.3">
      <c r="C11" s="12"/>
      <c r="D11" s="12"/>
      <c r="E11" s="12"/>
      <c r="F11" s="12"/>
      <c r="G11" s="12"/>
      <c r="H11" s="9"/>
    </row>
    <row r="12" spans="2:10" hidden="1" x14ac:dyDescent="0.3">
      <c r="B12" s="8" t="s">
        <v>3</v>
      </c>
      <c r="C12" s="11">
        <f>IF(C5&gt;0,CONVERT(C5/1000,"lbm","g")," ")</f>
        <v>11.339809250000002</v>
      </c>
      <c r="D12" s="11">
        <f t="shared" ref="D12:J12" si="6">IF(D5&gt;0,CONVERT(D5/1000,"lbm","g")," ")</f>
        <v>90.718474000000015</v>
      </c>
      <c r="E12" s="11" t="str">
        <f t="shared" si="6"/>
        <v xml:space="preserve"> </v>
      </c>
      <c r="F12" s="11" t="str">
        <f t="shared" si="6"/>
        <v xml:space="preserve"> </v>
      </c>
      <c r="G12" s="11" t="str">
        <f t="shared" si="6"/>
        <v xml:space="preserve"> </v>
      </c>
      <c r="H12" s="11" t="str">
        <f t="shared" si="6"/>
        <v xml:space="preserve"> </v>
      </c>
      <c r="I12" s="11" t="str">
        <f t="shared" si="6"/>
        <v xml:space="preserve"> </v>
      </c>
      <c r="J12" s="11" t="str">
        <f t="shared" si="6"/>
        <v xml:space="preserve"> </v>
      </c>
    </row>
    <row r="13" spans="2:10" hidden="1" x14ac:dyDescent="0.3">
      <c r="B13" s="8" t="s">
        <v>4</v>
      </c>
      <c r="C13" s="11">
        <f>IF(C6&gt;0,CONVERT(C6/1000,"lbm","g")," ")</f>
        <v>90.718474000000015</v>
      </c>
      <c r="D13" s="11">
        <f t="shared" ref="D13:J13" si="7">IF(D6&gt;0,CONVERT(D6/1000,"lbm","g")," ")</f>
        <v>149.6854821</v>
      </c>
      <c r="E13" s="11" t="str">
        <f t="shared" si="7"/>
        <v xml:space="preserve"> </v>
      </c>
      <c r="F13" s="11" t="str">
        <f t="shared" si="7"/>
        <v xml:space="preserve"> </v>
      </c>
      <c r="G13" s="11" t="str">
        <f t="shared" si="7"/>
        <v xml:space="preserve"> </v>
      </c>
      <c r="H13" s="11" t="str">
        <f t="shared" si="7"/>
        <v xml:space="preserve"> </v>
      </c>
      <c r="I13" s="11" t="str">
        <f t="shared" si="7"/>
        <v xml:space="preserve"> </v>
      </c>
      <c r="J13" s="11" t="str">
        <f t="shared" si="7"/>
        <v xml:space="preserve"> </v>
      </c>
    </row>
    <row r="14" spans="2:10" hidden="1" x14ac:dyDescent="0.3">
      <c r="C14" s="12">
        <f>IFERROR(IF(C12&gt;0,AVERAGE(C12:C13)," "),"")</f>
        <v>51.029141625000008</v>
      </c>
      <c r="D14" s="12">
        <f t="shared" ref="D14:J14" si="8">IFERROR(IF(D12&gt;0,AVERAGE(D12:D13)," "),"")</f>
        <v>120.20197805000001</v>
      </c>
      <c r="E14" s="12" t="str">
        <f t="shared" si="8"/>
        <v/>
      </c>
      <c r="F14" s="12" t="str">
        <f t="shared" si="8"/>
        <v/>
      </c>
      <c r="G14" s="12" t="str">
        <f t="shared" si="8"/>
        <v/>
      </c>
      <c r="H14" s="12" t="str">
        <f t="shared" si="8"/>
        <v/>
      </c>
      <c r="I14" s="12" t="str">
        <f t="shared" si="8"/>
        <v/>
      </c>
      <c r="J14" s="12" t="str">
        <f t="shared" si="8"/>
        <v/>
      </c>
    </row>
    <row r="15" spans="2:10" hidden="1" x14ac:dyDescent="0.3">
      <c r="C15" s="12"/>
      <c r="D15" s="12"/>
      <c r="E15" s="12"/>
      <c r="F15" s="12"/>
      <c r="G15" s="12"/>
      <c r="H15" s="9"/>
    </row>
    <row r="16" spans="2:10" x14ac:dyDescent="0.3">
      <c r="B16" s="10" t="s">
        <v>5</v>
      </c>
      <c r="H16" s="9"/>
    </row>
    <row r="17" spans="2:10" s="13" customFormat="1" x14ac:dyDescent="0.3">
      <c r="B17" s="8" t="s">
        <v>6</v>
      </c>
      <c r="C17" s="5">
        <f>IFERROR(IF(AND(C5&gt;0,C14&lt;40),C21,C21+(-(-0.0000000031*C14^4+0.0000013234*C14^3-0.0002087068*C14^2+0.0142221655*C14-0.3126825057)*C21)),"")</f>
        <v>3.3804185795518298</v>
      </c>
      <c r="D17" s="5">
        <f t="shared" ref="D17:J17" si="9">IFERROR(IF(AND(D5&gt;0,D14&lt;40),D21,D21+(-(-0.0000000031*D14^4+0.0000013234*D14^3-0.0002087068*D14^2+0.0142221655*D14-0.3126825057)*D21)),"")</f>
        <v>1.9971242142491206</v>
      </c>
      <c r="E17" s="5" t="str">
        <f t="shared" si="9"/>
        <v/>
      </c>
      <c r="F17" s="5" t="str">
        <f t="shared" si="9"/>
        <v/>
      </c>
      <c r="G17" s="5" t="str">
        <f t="shared" si="9"/>
        <v/>
      </c>
      <c r="H17" s="5" t="str">
        <f t="shared" si="9"/>
        <v/>
      </c>
      <c r="I17" s="5" t="str">
        <f t="shared" si="9"/>
        <v/>
      </c>
      <c r="J17" s="5" t="str">
        <f t="shared" si="9"/>
        <v/>
      </c>
    </row>
    <row r="18" spans="2:10" s="13" customFormat="1" x14ac:dyDescent="0.3">
      <c r="B18" s="8" t="s">
        <v>7</v>
      </c>
      <c r="C18" s="5">
        <f>IFERROR(IF(AND(C5&gt;0,C14&lt;40),C21,C21+((-0.0000000031*C14^4+0.0000013234*C14^3-0.0002087068*C14^2+0.0142221655*C14-0.3126825057)*C21)),"")</f>
        <v>3.5496991499781694</v>
      </c>
      <c r="D18" s="5">
        <f t="shared" ref="D18:J18" si="10">IFERROR(IF(AND(D5&gt;0,D14&lt;40),D21,D21+((-0.0000000031*D14^4+0.0000013234*D14^3-0.0002087068*D14^2+0.0142221655*D14-0.3126825057)*D21)),"")</f>
        <v>2.1316974835508788</v>
      </c>
      <c r="E18" s="5" t="str">
        <f t="shared" si="10"/>
        <v/>
      </c>
      <c r="F18" s="5" t="str">
        <f t="shared" si="10"/>
        <v/>
      </c>
      <c r="G18" s="5" t="str">
        <f t="shared" si="10"/>
        <v/>
      </c>
      <c r="H18" s="5" t="str">
        <f t="shared" si="10"/>
        <v/>
      </c>
      <c r="I18" s="5" t="str">
        <f t="shared" si="10"/>
        <v/>
      </c>
      <c r="J18" s="5" t="str">
        <f t="shared" si="10"/>
        <v/>
      </c>
    </row>
    <row r="19" spans="2:10" s="13" customFormat="1" x14ac:dyDescent="0.3">
      <c r="B19" s="8" t="str">
        <f>IF(B38="**","     Gilts development **","     Gilts development " )</f>
        <v xml:space="preserve">     Gilts development **</v>
      </c>
      <c r="C19" s="5">
        <f>IFERROR(IF(C5&gt;=200,1.86,(C18*0.97))," ")</f>
        <v>3.4432081754788242</v>
      </c>
      <c r="D19" s="5">
        <f t="shared" ref="D19:J19" si="11">IFERROR(IF(D5&gt;=200,1.86,(D18*0.97))," ")</f>
        <v>1.86</v>
      </c>
      <c r="E19" s="5" t="str">
        <f t="shared" si="11"/>
        <v xml:space="preserve"> </v>
      </c>
      <c r="F19" s="5" t="str">
        <f t="shared" si="11"/>
        <v xml:space="preserve"> </v>
      </c>
      <c r="G19" s="5" t="str">
        <f t="shared" si="11"/>
        <v xml:space="preserve"> </v>
      </c>
      <c r="H19" s="5" t="str">
        <f t="shared" si="11"/>
        <v xml:space="preserve"> </v>
      </c>
      <c r="I19" s="5" t="str">
        <f t="shared" si="11"/>
        <v xml:space="preserve"> </v>
      </c>
      <c r="J19" s="5" t="str">
        <f t="shared" si="11"/>
        <v xml:space="preserve"> </v>
      </c>
    </row>
    <row r="20" spans="2:10" s="13" customFormat="1" x14ac:dyDescent="0.3">
      <c r="B20" s="8" t="s">
        <v>8</v>
      </c>
      <c r="C20" s="5">
        <f>IF(C5&gt;0,(IF((C17)*(0.0023*(C14)+0.9644)&lt;C18,C18,(C17)*(0.0023*(C14)+0.9644)))," ")</f>
        <v>3.6568253525495678</v>
      </c>
      <c r="D20" s="5">
        <f t="shared" ref="D20:J20" si="12">IF(D5&gt;0,(IF((D17)*(0.0023*(D14)+0.9644)&lt;D18,D18,(D17)*(0.0023*(D14)+0.9644)))," ")</f>
        <v>2.478160638439733</v>
      </c>
      <c r="E20" s="5" t="str">
        <f t="shared" si="12"/>
        <v xml:space="preserve"> </v>
      </c>
      <c r="F20" s="5" t="str">
        <f t="shared" si="12"/>
        <v xml:space="preserve"> </v>
      </c>
      <c r="G20" s="5" t="str">
        <f t="shared" si="12"/>
        <v xml:space="preserve"> </v>
      </c>
      <c r="H20" s="5" t="str">
        <f t="shared" si="12"/>
        <v xml:space="preserve"> </v>
      </c>
      <c r="I20" s="5" t="str">
        <f t="shared" si="12"/>
        <v xml:space="preserve"> </v>
      </c>
      <c r="J20" s="5" t="str">
        <f t="shared" si="12"/>
        <v xml:space="preserve"> </v>
      </c>
    </row>
    <row r="21" spans="2:10" s="13" customFormat="1" x14ac:dyDescent="0.3">
      <c r="B21" s="8" t="s">
        <v>9</v>
      </c>
      <c r="C21" s="5">
        <f>IF(C23&gt;C22,C23,C22)</f>
        <v>3.4650588647649996</v>
      </c>
      <c r="D21" s="5">
        <f t="shared" ref="D21:J21" si="13">IF(D23&gt;D22,D23,D22)</f>
        <v>2.0644108488999997</v>
      </c>
      <c r="E21" s="5" t="str">
        <f t="shared" si="13"/>
        <v xml:space="preserve"> </v>
      </c>
      <c r="F21" s="5" t="str">
        <f t="shared" si="13"/>
        <v xml:space="preserve"> </v>
      </c>
      <c r="G21" s="5" t="str">
        <f t="shared" si="13"/>
        <v xml:space="preserve"> </v>
      </c>
      <c r="H21" s="5" t="str">
        <f t="shared" si="13"/>
        <v xml:space="preserve"> </v>
      </c>
      <c r="I21" s="5" t="str">
        <f t="shared" si="13"/>
        <v xml:space="preserve"> </v>
      </c>
      <c r="J21" s="5" t="str">
        <f t="shared" si="13"/>
        <v xml:space="preserve"> </v>
      </c>
    </row>
    <row r="22" spans="2:10" s="13" customFormat="1" hidden="1" x14ac:dyDescent="0.3">
      <c r="B22" s="8" t="s">
        <v>10</v>
      </c>
      <c r="C22" s="20">
        <f t="shared" ref="C22:J22" si="14">IF(C5&gt;0,((0.0000255654*(C8^2) - 0.0157978368*(C8) +4.4555073859))*0.85," ")</f>
        <v>3.4650588647649996</v>
      </c>
      <c r="D22" s="20">
        <f t="shared" si="14"/>
        <v>1.9707726220149995</v>
      </c>
      <c r="E22" s="20" t="str">
        <f t="shared" si="14"/>
        <v xml:space="preserve"> </v>
      </c>
      <c r="F22" s="20" t="str">
        <f t="shared" si="14"/>
        <v xml:space="preserve"> </v>
      </c>
      <c r="G22" s="20" t="str">
        <f t="shared" si="14"/>
        <v xml:space="preserve"> </v>
      </c>
      <c r="H22" s="20" t="str">
        <f t="shared" si="14"/>
        <v xml:space="preserve"> </v>
      </c>
      <c r="I22" s="20" t="str">
        <f t="shared" si="14"/>
        <v xml:space="preserve"> </v>
      </c>
      <c r="J22" s="20" t="str">
        <f t="shared" si="14"/>
        <v xml:space="preserve"> </v>
      </c>
    </row>
    <row r="23" spans="2:10" s="13" customFormat="1" hidden="1" x14ac:dyDescent="0.3">
      <c r="B23" s="8" t="s">
        <v>11</v>
      </c>
      <c r="C23" s="20">
        <f t="shared" ref="C23:J23" si="15">IF(C5&gt;0,(0.0000255654*(C10^2) - 0.0157978368*(C10) +4.4555073859)," ")</f>
        <v>3.0018128396499999</v>
      </c>
      <c r="D23" s="20">
        <f t="shared" si="15"/>
        <v>2.0644108488999997</v>
      </c>
      <c r="E23" s="20" t="str">
        <f t="shared" si="15"/>
        <v xml:space="preserve"> </v>
      </c>
      <c r="F23" s="20" t="str">
        <f t="shared" si="15"/>
        <v xml:space="preserve"> </v>
      </c>
      <c r="G23" s="20" t="str">
        <f t="shared" si="15"/>
        <v xml:space="preserve"> </v>
      </c>
      <c r="H23" s="20" t="str">
        <f t="shared" si="15"/>
        <v xml:space="preserve"> </v>
      </c>
      <c r="I23" s="20" t="str">
        <f t="shared" si="15"/>
        <v xml:space="preserve"> </v>
      </c>
      <c r="J23" s="20" t="str">
        <f t="shared" si="15"/>
        <v xml:space="preserve"> </v>
      </c>
    </row>
    <row r="24" spans="2:10" s="13" customFormat="1" x14ac:dyDescent="0.3">
      <c r="B24" s="8"/>
      <c r="C24" s="20"/>
      <c r="D24" s="20"/>
      <c r="E24" s="20"/>
      <c r="F24" s="20"/>
      <c r="G24" s="20"/>
      <c r="H24" s="20"/>
      <c r="I24" s="20"/>
      <c r="J24" s="20"/>
    </row>
    <row r="25" spans="2:10" s="13" customFormat="1" x14ac:dyDescent="0.3">
      <c r="B25" s="10" t="s">
        <v>12</v>
      </c>
      <c r="C25" s="14"/>
      <c r="D25" s="14"/>
      <c r="E25" s="14"/>
      <c r="F25" s="14"/>
      <c r="G25" s="14"/>
      <c r="H25" s="14"/>
    </row>
    <row r="26" spans="2:10" s="13" customFormat="1" x14ac:dyDescent="0.3">
      <c r="B26" s="8" t="s">
        <v>6</v>
      </c>
      <c r="C26" s="5">
        <f t="shared" ref="C26:J27" si="16">IF(C$3&gt;0,(C17*(C$3*2.204622)/10000)," ")</f>
        <v>1.0433563237564201</v>
      </c>
      <c r="D26" s="5">
        <f t="shared" si="16"/>
        <v>0.61640655712528547</v>
      </c>
      <c r="E26" s="5" t="str">
        <f t="shared" si="16"/>
        <v xml:space="preserve"> </v>
      </c>
      <c r="F26" s="5" t="str">
        <f t="shared" si="16"/>
        <v xml:space="preserve"> </v>
      </c>
      <c r="G26" s="5" t="str">
        <f t="shared" si="16"/>
        <v xml:space="preserve"> </v>
      </c>
      <c r="H26" s="5" t="str">
        <f t="shared" si="16"/>
        <v xml:space="preserve"> </v>
      </c>
      <c r="I26" s="5" t="str">
        <f t="shared" si="16"/>
        <v xml:space="preserve"> </v>
      </c>
      <c r="J26" s="5" t="str">
        <f t="shared" si="16"/>
        <v xml:space="preserve"> </v>
      </c>
    </row>
    <row r="27" spans="2:10" s="13" customFormat="1" x14ac:dyDescent="0.3">
      <c r="B27" s="8" t="s">
        <v>7</v>
      </c>
      <c r="C27" s="5">
        <f t="shared" si="16"/>
        <v>1.0956042775192441</v>
      </c>
      <c r="D27" s="5">
        <f t="shared" si="16"/>
        <v>0.65794220374132684</v>
      </c>
      <c r="E27" s="5" t="str">
        <f t="shared" si="16"/>
        <v xml:space="preserve"> </v>
      </c>
      <c r="F27" s="5" t="str">
        <f t="shared" si="16"/>
        <v xml:space="preserve"> </v>
      </c>
      <c r="G27" s="5" t="str">
        <f t="shared" si="16"/>
        <v xml:space="preserve"> </v>
      </c>
      <c r="H27" s="5" t="str">
        <f t="shared" si="16"/>
        <v xml:space="preserve"> </v>
      </c>
      <c r="I27" s="5" t="str">
        <f t="shared" si="16"/>
        <v xml:space="preserve"> </v>
      </c>
      <c r="J27" s="5" t="str">
        <f t="shared" si="16"/>
        <v xml:space="preserve"> </v>
      </c>
    </row>
    <row r="28" spans="2:10" s="13" customFormat="1" x14ac:dyDescent="0.3">
      <c r="B28" s="8" t="str">
        <f>IF(B38="**","     Gilts development **","     Gilts development " )</f>
        <v xml:space="preserve">     Gilts development **</v>
      </c>
      <c r="C28" s="5">
        <f>IF(C$3&gt;0,(C19*(C$3*2.204622)/10000)," ")</f>
        <v>1.0627361491936667</v>
      </c>
      <c r="D28" s="5">
        <f t="shared" ref="D28:J28" si="17">IF(D$3&gt;0,(D19*(D$3*2.204622)/10000)," ")</f>
        <v>0.5740835688</v>
      </c>
      <c r="E28" s="5" t="str">
        <f t="shared" si="17"/>
        <v xml:space="preserve"> </v>
      </c>
      <c r="F28" s="5" t="str">
        <f t="shared" si="17"/>
        <v xml:space="preserve"> </v>
      </c>
      <c r="G28" s="5" t="str">
        <f t="shared" si="17"/>
        <v xml:space="preserve"> </v>
      </c>
      <c r="H28" s="5" t="str">
        <f t="shared" si="17"/>
        <v xml:space="preserve"> </v>
      </c>
      <c r="I28" s="5" t="str">
        <f t="shared" si="17"/>
        <v xml:space="preserve"> </v>
      </c>
      <c r="J28" s="5" t="str">
        <f t="shared" si="17"/>
        <v xml:space="preserve"> </v>
      </c>
    </row>
    <row r="29" spans="2:10" s="13" customFormat="1" x14ac:dyDescent="0.3">
      <c r="B29" s="8" t="s">
        <v>8</v>
      </c>
      <c r="C29" s="5">
        <f>IF(C$3&gt;0,(C20*(C$3*2.204622)/10000)," ")</f>
        <v>1.1286684671343947</v>
      </c>
      <c r="D29" s="5">
        <f t="shared" ref="D29:J30" si="18">IF(D$3&gt;0,(D20*(D$3*2.204622)/10000)," ")</f>
        <v>0.76487704482535934</v>
      </c>
      <c r="E29" s="5" t="str">
        <f t="shared" si="18"/>
        <v xml:space="preserve"> </v>
      </c>
      <c r="F29" s="5" t="str">
        <f t="shared" si="18"/>
        <v xml:space="preserve"> </v>
      </c>
      <c r="G29" s="5" t="str">
        <f t="shared" si="18"/>
        <v xml:space="preserve"> </v>
      </c>
      <c r="H29" s="5" t="str">
        <f t="shared" si="18"/>
        <v xml:space="preserve"> </v>
      </c>
      <c r="I29" s="5" t="str">
        <f t="shared" si="18"/>
        <v xml:space="preserve"> </v>
      </c>
      <c r="J29" s="5" t="str">
        <f t="shared" si="18"/>
        <v xml:space="preserve"> </v>
      </c>
    </row>
    <row r="30" spans="2:10" s="13" customFormat="1" x14ac:dyDescent="0.3">
      <c r="B30" s="8" t="s">
        <v>9</v>
      </c>
      <c r="C30" s="5">
        <f>IF(C$3&gt;0,(C21*(C$3*2.204622)/10000)," ")</f>
        <v>1.0694803006378322</v>
      </c>
      <c r="D30" s="5">
        <f t="shared" si="18"/>
        <v>0.6371743804333061</v>
      </c>
      <c r="E30" s="5" t="str">
        <f t="shared" si="18"/>
        <v xml:space="preserve"> </v>
      </c>
      <c r="F30" s="5" t="str">
        <f t="shared" si="18"/>
        <v xml:space="preserve"> </v>
      </c>
      <c r="G30" s="5" t="str">
        <f t="shared" si="18"/>
        <v xml:space="preserve"> </v>
      </c>
      <c r="H30" s="5" t="str">
        <f t="shared" si="18"/>
        <v xml:space="preserve"> </v>
      </c>
      <c r="I30" s="5" t="str">
        <f t="shared" si="18"/>
        <v xml:space="preserve"> </v>
      </c>
      <c r="J30" s="5" t="str">
        <f t="shared" si="18"/>
        <v xml:space="preserve"> </v>
      </c>
    </row>
    <row r="31" spans="2:10" s="13" customFormat="1" x14ac:dyDescent="0.3">
      <c r="B31" s="8" t="s">
        <v>13</v>
      </c>
      <c r="C31" s="5">
        <f>IF(C$3&gt;0,AVERAGE(C27,C29)," ")</f>
        <v>1.1121363723268194</v>
      </c>
      <c r="D31" s="5">
        <f t="shared" ref="D31:J31" si="19">IF(D$3&gt;0,AVERAGE(D27,D29)," ")</f>
        <v>0.71140962428334309</v>
      </c>
      <c r="E31" s="5" t="str">
        <f t="shared" si="19"/>
        <v xml:space="preserve"> </v>
      </c>
      <c r="F31" s="5" t="str">
        <f t="shared" si="19"/>
        <v xml:space="preserve"> </v>
      </c>
      <c r="G31" s="5" t="str">
        <f t="shared" si="19"/>
        <v xml:space="preserve"> </v>
      </c>
      <c r="H31" s="5" t="str">
        <f t="shared" si="19"/>
        <v xml:space="preserve"> </v>
      </c>
      <c r="I31" s="5" t="str">
        <f t="shared" si="19"/>
        <v xml:space="preserve"> </v>
      </c>
      <c r="J31" s="5" t="str">
        <f t="shared" si="19"/>
        <v xml:space="preserve"> </v>
      </c>
    </row>
    <row r="32" spans="2:10" s="13" customFormat="1" hidden="1" x14ac:dyDescent="0.3">
      <c r="B32" s="15" t="s">
        <v>14</v>
      </c>
      <c r="C32" s="16">
        <f>C20/C17</f>
        <v>1.0817670257375001</v>
      </c>
      <c r="D32" s="16">
        <f t="shared" ref="D32:J32" si="20">D20/D17</f>
        <v>1.2408645495149999</v>
      </c>
      <c r="E32" s="16" t="e">
        <f t="shared" si="20"/>
        <v>#VALUE!</v>
      </c>
      <c r="F32" s="16" t="e">
        <f t="shared" si="20"/>
        <v>#VALUE!</v>
      </c>
      <c r="G32" s="16" t="e">
        <f t="shared" si="20"/>
        <v>#VALUE!</v>
      </c>
      <c r="H32" s="16" t="e">
        <f t="shared" si="20"/>
        <v>#VALUE!</v>
      </c>
      <c r="I32" s="16" t="e">
        <f t="shared" si="20"/>
        <v>#VALUE!</v>
      </c>
      <c r="J32" s="16" t="e">
        <f t="shared" si="20"/>
        <v>#VALUE!</v>
      </c>
    </row>
    <row r="33" spans="2:11" s="13" customFormat="1" hidden="1" x14ac:dyDescent="0.3">
      <c r="B33" s="15"/>
      <c r="C33" s="16"/>
      <c r="D33" s="16"/>
      <c r="E33" s="16"/>
      <c r="F33" s="16"/>
      <c r="G33" s="16"/>
      <c r="H33" s="16"/>
      <c r="I33" s="16"/>
      <c r="J33" s="16"/>
    </row>
    <row r="34" spans="2:11" s="13" customFormat="1" ht="25.2" customHeight="1" x14ac:dyDescent="0.3">
      <c r="B34" s="27" t="s">
        <v>15</v>
      </c>
      <c r="C34" s="26" t="s">
        <v>16</v>
      </c>
      <c r="D34" s="26"/>
      <c r="E34" s="26"/>
      <c r="F34" s="26"/>
      <c r="G34" s="26"/>
      <c r="H34" s="26"/>
      <c r="I34" s="26"/>
      <c r="J34" s="26"/>
    </row>
    <row r="35" spans="2:11" s="13" customFormat="1" ht="18.600000000000001" customHeight="1" x14ac:dyDescent="0.3">
      <c r="B35" s="27"/>
      <c r="C35" s="26"/>
      <c r="D35" s="26"/>
      <c r="E35" s="26"/>
      <c r="F35" s="26"/>
      <c r="G35" s="26"/>
      <c r="H35" s="26"/>
      <c r="I35" s="26"/>
      <c r="J35" s="26"/>
    </row>
    <row r="36" spans="2:11" s="13" customFormat="1" ht="15" customHeight="1" x14ac:dyDescent="0.3">
      <c r="B36" s="23" t="str">
        <f>(IF(C23&lt;C22,"!",IF(D23&lt;D22,"!",IF(E23&lt;E22,"!",IF(F23&lt;F22,"!",IF(G23&lt;G22,"!",IF(H23&lt;H22,"!",IF(I23&lt;I22,"!",IF(J23&lt;J22,"!"," ")))))))))</f>
        <v>!</v>
      </c>
      <c r="C36" s="24" t="str">
        <f>IF(B36="!","Because the weight range is so wide, PIC biological requirement is set as 85% of the requirement at the beginning of the phase"," ")</f>
        <v>Because the weight range is so wide, PIC biological requirement is set as 85% of the requirement at the beginning of the phase</v>
      </c>
      <c r="D36" s="24"/>
      <c r="E36" s="24"/>
      <c r="F36" s="24"/>
      <c r="G36" s="24"/>
      <c r="H36" s="24"/>
      <c r="I36" s="24"/>
      <c r="J36" s="24"/>
      <c r="K36" s="22"/>
    </row>
    <row r="37" spans="2:11" x14ac:dyDescent="0.3">
      <c r="B37" s="23"/>
      <c r="C37" s="24"/>
      <c r="D37" s="24"/>
      <c r="E37" s="24"/>
      <c r="F37" s="24"/>
      <c r="G37" s="24"/>
      <c r="H37" s="24"/>
      <c r="I37" s="24"/>
      <c r="J37" s="24"/>
      <c r="K37" s="22"/>
    </row>
    <row r="38" spans="2:11" x14ac:dyDescent="0.3">
      <c r="B38" s="23" t="str">
        <f>(IF(C19&lt;1.9,"**",IF(D19&lt;1.9,"**",IF(E19&lt;1.9,"**",IF(F19&lt;1.9,"**",IF(G19&lt;1.9,"**",IF(H19&lt;1.9,"**",IF(I19&lt;1.9,"**",IF(J19&lt;1.9,"**"," ")))))))))</f>
        <v>**</v>
      </c>
      <c r="C38" s="25" t="str">
        <f>IF(B38="**","if desired weight at breeding is not met, PIC recommends using 97% of SID Lysine requirement for commercial gilts above 200 lbs"," ")</f>
        <v>if desired weight at breeding is not met, PIC recommends using 97% of SID Lysine requirement for commercial gilts above 200 lbs</v>
      </c>
      <c r="D38" s="25"/>
      <c r="E38" s="25"/>
      <c r="F38" s="25"/>
      <c r="G38" s="25"/>
      <c r="H38" s="25"/>
      <c r="I38" s="25"/>
      <c r="J38" s="25"/>
    </row>
    <row r="39" spans="2:11" x14ac:dyDescent="0.3">
      <c r="B39" s="23"/>
      <c r="C39" s="25"/>
      <c r="D39" s="25"/>
      <c r="E39" s="25"/>
      <c r="F39" s="25"/>
      <c r="G39" s="25"/>
      <c r="H39" s="25"/>
      <c r="I39" s="25"/>
      <c r="J39" s="25"/>
    </row>
    <row r="40" spans="2:11" x14ac:dyDescent="0.3">
      <c r="I40" s="17"/>
    </row>
    <row r="42" spans="2:11" x14ac:dyDescent="0.3">
      <c r="G42" s="17"/>
    </row>
  </sheetData>
  <mergeCells count="6">
    <mergeCell ref="B36:B37"/>
    <mergeCell ref="C36:J37"/>
    <mergeCell ref="B38:B39"/>
    <mergeCell ref="C38:J39"/>
    <mergeCell ref="C34:J35"/>
    <mergeCell ref="B34:B35"/>
  </mergeCells>
  <conditionalFormatting sqref="C28:J28">
    <cfRule type="cellIs" dxfId="3" priority="2" operator="lessThanOrEqual">
      <formula>0.65</formula>
    </cfRule>
  </conditionalFormatting>
  <conditionalFormatting sqref="C19:J19">
    <cfRule type="cellIs" dxfId="2" priority="1" operator="lessThanOrEqual">
      <formula>1.9</formula>
    </cfRule>
  </conditionalFormatting>
  <dataValidations count="1">
    <dataValidation type="decimal" errorStyle="warning" allowBlank="1" showInputMessage="1" showErrorMessage="1" error="This calculator is based on data between 25 and 330 lb. It is not recommended to use for body weight outside of this range." sqref="C5:J6" xr:uid="{91FC4DD5-F3F2-4030-97FF-6EE4131B3765}">
      <formula1>25</formula1>
      <formula2>330</formula2>
    </dataValidation>
  </dataValidations>
  <pageMargins left="0.7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3"/>
  <dimension ref="B1:L41"/>
  <sheetViews>
    <sheetView showGridLines="0" zoomScale="110" zoomScaleNormal="110" workbookViewId="0">
      <selection activeCell="C2" sqref="C2"/>
    </sheetView>
  </sheetViews>
  <sheetFormatPr defaultColWidth="8.88671875" defaultRowHeight="14.4" x14ac:dyDescent="0.3"/>
  <cols>
    <col min="1" max="1" width="8.88671875" style="8"/>
    <col min="2" max="2" width="31.109375" style="8" customWidth="1"/>
    <col min="3" max="7" width="9.77734375" style="9" customWidth="1"/>
    <col min="8" max="10" width="9.77734375" style="8" customWidth="1"/>
    <col min="11" max="16384" width="8.88671875" style="8"/>
  </cols>
  <sheetData>
    <row r="1" spans="2:12" s="13" customFormat="1" ht="121.95" customHeight="1" x14ac:dyDescent="0.3">
      <c r="C1" s="14"/>
      <c r="D1" s="14"/>
      <c r="E1" s="14"/>
      <c r="F1" s="14"/>
      <c r="G1" s="14"/>
    </row>
    <row r="2" spans="2:12" x14ac:dyDescent="0.3">
      <c r="B2" s="32" t="s">
        <v>26</v>
      </c>
      <c r="C2" s="2">
        <v>3300</v>
      </c>
      <c r="D2" s="2">
        <v>3300</v>
      </c>
      <c r="E2" s="2">
        <v>3300</v>
      </c>
      <c r="F2" s="2">
        <v>3300</v>
      </c>
      <c r="G2" s="2">
        <v>3300</v>
      </c>
      <c r="H2" s="2">
        <v>3300</v>
      </c>
      <c r="I2" s="2">
        <v>3300</v>
      </c>
      <c r="J2" s="2"/>
    </row>
    <row r="3" spans="2:12" ht="15.6" x14ac:dyDescent="0.3">
      <c r="B3" s="10"/>
      <c r="C3" s="21" t="str">
        <f t="shared" ref="C3:J3" si="0">IF(C22&lt;C21,"!", " ")</f>
        <v xml:space="preserve"> </v>
      </c>
      <c r="D3" s="21" t="str">
        <f t="shared" si="0"/>
        <v xml:space="preserve"> </v>
      </c>
      <c r="E3" s="21" t="str">
        <f t="shared" si="0"/>
        <v xml:space="preserve"> </v>
      </c>
      <c r="F3" s="21" t="str">
        <f t="shared" si="0"/>
        <v xml:space="preserve"> </v>
      </c>
      <c r="G3" s="21" t="str">
        <f t="shared" si="0"/>
        <v xml:space="preserve"> </v>
      </c>
      <c r="H3" s="21" t="str">
        <f t="shared" si="0"/>
        <v xml:space="preserve"> </v>
      </c>
      <c r="I3" s="21" t="str">
        <f t="shared" si="0"/>
        <v xml:space="preserve"> </v>
      </c>
      <c r="J3" s="21" t="str">
        <f t="shared" si="0"/>
        <v xml:space="preserve"> </v>
      </c>
    </row>
    <row r="4" spans="2:12" x14ac:dyDescent="0.3">
      <c r="B4" s="10" t="s">
        <v>17</v>
      </c>
      <c r="C4" s="2">
        <v>11</v>
      </c>
      <c r="D4" s="2">
        <v>23</v>
      </c>
      <c r="E4" s="2">
        <v>41</v>
      </c>
      <c r="F4" s="2">
        <v>59</v>
      </c>
      <c r="G4" s="2">
        <v>82</v>
      </c>
      <c r="H4" s="2">
        <v>104</v>
      </c>
      <c r="I4" s="2">
        <v>125</v>
      </c>
      <c r="J4" s="2"/>
      <c r="L4" s="18"/>
    </row>
    <row r="5" spans="2:12" x14ac:dyDescent="0.3">
      <c r="B5" s="10" t="s">
        <v>18</v>
      </c>
      <c r="C5" s="2">
        <v>23</v>
      </c>
      <c r="D5" s="2">
        <v>41</v>
      </c>
      <c r="E5" s="2">
        <v>80</v>
      </c>
      <c r="F5" s="2">
        <v>82</v>
      </c>
      <c r="G5" s="2">
        <v>104</v>
      </c>
      <c r="H5" s="2">
        <v>125</v>
      </c>
      <c r="I5" s="2">
        <v>150</v>
      </c>
      <c r="J5" s="2"/>
    </row>
    <row r="7" spans="2:12" hidden="1" x14ac:dyDescent="0.3">
      <c r="B7" s="8" t="s">
        <v>1</v>
      </c>
      <c r="C7" s="11">
        <f>IF(C4&gt;0,CONVERT(C4*1000,"g","lbm")," ")</f>
        <v>24.250848840336534</v>
      </c>
      <c r="D7" s="11">
        <f t="shared" ref="D7:J7" si="1">IF(D4&gt;0,CONVERT(D4*1000,"g","lbm")," ")</f>
        <v>50.706320302521839</v>
      </c>
      <c r="E7" s="11">
        <f t="shared" si="1"/>
        <v>90.389527495799811</v>
      </c>
      <c r="F7" s="11">
        <f t="shared" si="1"/>
        <v>130.07273468907778</v>
      </c>
      <c r="G7" s="11">
        <f t="shared" si="1"/>
        <v>180.77905499159962</v>
      </c>
      <c r="H7" s="11">
        <f t="shared" si="1"/>
        <v>229.28075267227268</v>
      </c>
      <c r="I7" s="11">
        <f t="shared" si="1"/>
        <v>275.57782773109699</v>
      </c>
      <c r="J7" s="11" t="str">
        <f t="shared" si="1"/>
        <v xml:space="preserve"> </v>
      </c>
    </row>
    <row r="8" spans="2:12" hidden="1" x14ac:dyDescent="0.3">
      <c r="B8" s="8" t="s">
        <v>2</v>
      </c>
      <c r="C8" s="11">
        <f>IF(C5&gt;0,CONVERT(C5*1000,"g","lbm")," ")</f>
        <v>50.706320302521839</v>
      </c>
      <c r="D8" s="11">
        <f t="shared" ref="D8:J8" si="2">IF(D5&gt;0,CONVERT(D5*1000,"g","lbm")," ")</f>
        <v>90.389527495799811</v>
      </c>
      <c r="E8" s="11">
        <f t="shared" si="2"/>
        <v>176.36980974790205</v>
      </c>
      <c r="F8" s="11">
        <f t="shared" si="2"/>
        <v>180.77905499159962</v>
      </c>
      <c r="G8" s="11">
        <f t="shared" si="2"/>
        <v>229.28075267227268</v>
      </c>
      <c r="H8" s="11">
        <f t="shared" si="2"/>
        <v>275.57782773109699</v>
      </c>
      <c r="I8" s="11">
        <f t="shared" si="2"/>
        <v>330.69339327731637</v>
      </c>
      <c r="J8" s="11" t="str">
        <f t="shared" si="2"/>
        <v xml:space="preserve"> </v>
      </c>
    </row>
    <row r="9" spans="2:12" hidden="1" x14ac:dyDescent="0.3">
      <c r="C9" s="12">
        <f>IFERROR(IF(C7&gt;0,AVERAGE(C7:C8)," "),"")</f>
        <v>37.478584571429188</v>
      </c>
      <c r="D9" s="12">
        <f t="shared" ref="D9:J9" si="3">IFERROR(IF(D7&gt;0,AVERAGE(D7:D8)," "),"")</f>
        <v>70.547923899160821</v>
      </c>
      <c r="E9" s="12">
        <f t="shared" si="3"/>
        <v>133.37966862185093</v>
      </c>
      <c r="F9" s="12">
        <f t="shared" si="3"/>
        <v>155.42589484033869</v>
      </c>
      <c r="G9" s="12">
        <f t="shared" si="3"/>
        <v>205.02990383193617</v>
      </c>
      <c r="H9" s="12">
        <f t="shared" si="3"/>
        <v>252.42929020168484</v>
      </c>
      <c r="I9" s="12">
        <f t="shared" si="3"/>
        <v>303.13561050420668</v>
      </c>
      <c r="J9" s="12" t="str">
        <f t="shared" si="3"/>
        <v/>
      </c>
    </row>
    <row r="10" spans="2:12" hidden="1" x14ac:dyDescent="0.3">
      <c r="C10" s="12"/>
      <c r="D10" s="12"/>
      <c r="E10" s="12"/>
      <c r="F10" s="12"/>
      <c r="G10" s="12"/>
      <c r="H10" s="9"/>
    </row>
    <row r="11" spans="2:12" hidden="1" x14ac:dyDescent="0.3">
      <c r="B11" s="8" t="s">
        <v>3</v>
      </c>
      <c r="C11" s="11">
        <f>IF(C4&gt;0,C4," ")</f>
        <v>11</v>
      </c>
      <c r="D11" s="11">
        <f t="shared" ref="D11:H11" si="4">IF(D4&gt;0,D4," ")</f>
        <v>23</v>
      </c>
      <c r="E11" s="11">
        <f t="shared" si="4"/>
        <v>41</v>
      </c>
      <c r="F11" s="11">
        <f t="shared" si="4"/>
        <v>59</v>
      </c>
      <c r="G11" s="11">
        <f t="shared" si="4"/>
        <v>82</v>
      </c>
      <c r="H11" s="11">
        <f t="shared" si="4"/>
        <v>104</v>
      </c>
      <c r="I11" s="11">
        <f t="shared" ref="I11:J11" si="5">IF(I4&gt;0,I4," ")</f>
        <v>125</v>
      </c>
      <c r="J11" s="11" t="str">
        <f t="shared" si="5"/>
        <v xml:space="preserve"> </v>
      </c>
    </row>
    <row r="12" spans="2:12" hidden="1" x14ac:dyDescent="0.3">
      <c r="B12" s="8" t="s">
        <v>4</v>
      </c>
      <c r="C12" s="11">
        <f>IF(C5&gt;0,C5," ")</f>
        <v>23</v>
      </c>
      <c r="D12" s="11">
        <f t="shared" ref="D12:H12" si="6">IF(D5&gt;0,D5," ")</f>
        <v>41</v>
      </c>
      <c r="E12" s="11">
        <f t="shared" si="6"/>
        <v>80</v>
      </c>
      <c r="F12" s="11">
        <f t="shared" si="6"/>
        <v>82</v>
      </c>
      <c r="G12" s="11">
        <f t="shared" si="6"/>
        <v>104</v>
      </c>
      <c r="H12" s="11">
        <f t="shared" si="6"/>
        <v>125</v>
      </c>
      <c r="I12" s="11">
        <f t="shared" ref="I12:J12" si="7">IF(I5&gt;0,I5," ")</f>
        <v>150</v>
      </c>
      <c r="J12" s="11" t="str">
        <f t="shared" si="7"/>
        <v xml:space="preserve"> </v>
      </c>
    </row>
    <row r="13" spans="2:12" hidden="1" x14ac:dyDescent="0.3">
      <c r="C13" s="12">
        <f>IFERROR(IF(C11&gt;0,AVERAGE(C11:C12)," "),"")</f>
        <v>17</v>
      </c>
      <c r="D13" s="12">
        <f t="shared" ref="D13:J13" si="8">IFERROR(IF(D11&gt;0,AVERAGE(D11:D12)," "),"")</f>
        <v>32</v>
      </c>
      <c r="E13" s="12">
        <f t="shared" si="8"/>
        <v>60.5</v>
      </c>
      <c r="F13" s="12">
        <f t="shared" si="8"/>
        <v>70.5</v>
      </c>
      <c r="G13" s="12">
        <f t="shared" si="8"/>
        <v>93</v>
      </c>
      <c r="H13" s="12">
        <f t="shared" si="8"/>
        <v>114.5</v>
      </c>
      <c r="I13" s="12">
        <f t="shared" si="8"/>
        <v>137.5</v>
      </c>
      <c r="J13" s="12" t="str">
        <f t="shared" si="8"/>
        <v/>
      </c>
    </row>
    <row r="14" spans="2:12" hidden="1" x14ac:dyDescent="0.3">
      <c r="C14" s="12"/>
      <c r="D14" s="12"/>
      <c r="E14" s="12"/>
      <c r="F14" s="12"/>
      <c r="G14" s="12"/>
      <c r="H14" s="9"/>
    </row>
    <row r="15" spans="2:12" x14ac:dyDescent="0.3">
      <c r="B15" s="10" t="s">
        <v>20</v>
      </c>
      <c r="H15" s="9"/>
    </row>
    <row r="16" spans="2:12" x14ac:dyDescent="0.3">
      <c r="B16" s="8" t="s">
        <v>21</v>
      </c>
      <c r="C16" s="4">
        <f>IFERROR(IF(AND(C4&gt;0,C13&lt;40),C20,C20+(-(-0.0000000031*C13^4+0.0000013234*C13^3-0.0002087068*C13^2+0.0142221655*C13-0.3126825057)*C20)),"")</f>
        <v>3.8993371167705635</v>
      </c>
      <c r="D16" s="4">
        <f t="shared" ref="D16:J16" si="9">IFERROR(IF(AND(D4&gt;0,D13&lt;40),D20,D20+(-(-0.0000000031*D13^4+0.0000013234*D13^3-0.0002087068*D13^2+0.0142221655*D13-0.3126825057)*D20)),"")</f>
        <v>3.4682420379331713</v>
      </c>
      <c r="E16" s="4">
        <f t="shared" si="9"/>
        <v>2.7040655074958302</v>
      </c>
      <c r="F16" s="4">
        <f t="shared" si="9"/>
        <v>2.5135250508869547</v>
      </c>
      <c r="G16" s="4">
        <f t="shared" si="9"/>
        <v>2.2053418238669606</v>
      </c>
      <c r="H16" s="4">
        <f t="shared" si="9"/>
        <v>2.0268488591134326</v>
      </c>
      <c r="I16" s="4">
        <f t="shared" si="9"/>
        <v>1.956908346706917</v>
      </c>
      <c r="J16" s="4" t="str">
        <f t="shared" si="9"/>
        <v/>
      </c>
    </row>
    <row r="17" spans="2:10" x14ac:dyDescent="0.3">
      <c r="B17" s="8" t="s">
        <v>22</v>
      </c>
      <c r="C17" s="4">
        <f>IFERROR(IF(AND(C4&gt;0,C13&lt;40),C20,C20+((-0.0000000031*C13^4+0.0000013234*C13^3-0.0002087068*C13^2+0.0142221655*C13-0.3126825057)*C20)),"")</f>
        <v>3.8993371167705635</v>
      </c>
      <c r="D17" s="4">
        <f t="shared" ref="D17:J17" si="10">IFERROR(IF(AND(D4&gt;0,D13&lt;40),D20,D20+((-0.0000000031*D13^4+0.0000013234*D13^3-0.0002087068*D13^2+0.0142221655*D13-0.3126825057)*D20)),"")</f>
        <v>3.4682420379331713</v>
      </c>
      <c r="E17" s="4">
        <f>IFERROR(IF(AND(E4&gt;0,E13&lt;40),E20,E20+((-0.0000000031*E13^4+0.0000013234*E13^3-0.0002087068*E13^2+0.0142221655*E13-0.3126825057)*E20)),"")</f>
        <v>2.9023526755264379</v>
      </c>
      <c r="F17" s="4">
        <f t="shared" si="10"/>
        <v>2.7218812895920301</v>
      </c>
      <c r="G17" s="4">
        <f t="shared" si="10"/>
        <v>2.3770138367514435</v>
      </c>
      <c r="H17" s="4">
        <f t="shared" si="10"/>
        <v>2.1665749740214681</v>
      </c>
      <c r="I17" s="4">
        <f t="shared" si="10"/>
        <v>2.074803103954034</v>
      </c>
      <c r="J17" s="4" t="str">
        <f t="shared" si="10"/>
        <v/>
      </c>
    </row>
    <row r="18" spans="2:10" s="13" customFormat="1" x14ac:dyDescent="0.3">
      <c r="B18" s="8" t="str">
        <f>IF(B37="**","     Ремонтные свинки **","     Ремонтные свиник " )</f>
        <v xml:space="preserve">     Ремонтные свинки **</v>
      </c>
      <c r="C18" s="5">
        <f>IFERROR(IF(C4&gt;=90,1.86,(C17*0.97))," ")</f>
        <v>3.7823570032674465</v>
      </c>
      <c r="D18" s="5">
        <f t="shared" ref="D18:J18" si="11">IFERROR(IF(D4&gt;=90,1.86,(D17*0.97))," ")</f>
        <v>3.3641947767951761</v>
      </c>
      <c r="E18" s="5">
        <f t="shared" si="11"/>
        <v>2.8152820952606445</v>
      </c>
      <c r="F18" s="5">
        <f t="shared" si="11"/>
        <v>2.6402248509042692</v>
      </c>
      <c r="G18" s="5">
        <f t="shared" si="11"/>
        <v>2.3057034216489001</v>
      </c>
      <c r="H18" s="5">
        <f t="shared" si="11"/>
        <v>1.86</v>
      </c>
      <c r="I18" s="5">
        <f t="shared" si="11"/>
        <v>1.86</v>
      </c>
      <c r="J18" s="5" t="str">
        <f t="shared" si="11"/>
        <v xml:space="preserve"> </v>
      </c>
    </row>
    <row r="19" spans="2:10" x14ac:dyDescent="0.3">
      <c r="B19" s="8" t="s">
        <v>23</v>
      </c>
      <c r="C19" s="4">
        <f>IF(C4&gt;0,(IF((C16)*(0.0023*(C13)+0.9644)&lt;C17,C17,(C16)*(0.0023*(C13)+0.9644)))," ")</f>
        <v>3.9129847966792606</v>
      </c>
      <c r="D19" s="4">
        <f t="shared" ref="D19:J19" si="12">IF(D4&gt;0,(IF((D16)*(0.0023*(D13)+0.9644)&lt;D17,D17,(D16)*(0.0023*(D13)+0.9644)))," ")</f>
        <v>3.6000352353746319</v>
      </c>
      <c r="E19" s="4">
        <f t="shared" si="12"/>
        <v>2.9840714907970236</v>
      </c>
      <c r="F19" s="4">
        <f t="shared" si="12"/>
        <v>2.8316116460766985</v>
      </c>
      <c r="G19" s="4">
        <f t="shared" si="12"/>
        <v>2.5985542710624401</v>
      </c>
      <c r="H19" s="4">
        <f t="shared" si="12"/>
        <v>2.4884636867765169</v>
      </c>
      <c r="I19" s="4">
        <f t="shared" si="12"/>
        <v>2.5061146742102136</v>
      </c>
      <c r="J19" s="4" t="str">
        <f t="shared" si="12"/>
        <v xml:space="preserve"> </v>
      </c>
    </row>
    <row r="20" spans="2:10" x14ac:dyDescent="0.3">
      <c r="B20" s="8" t="s">
        <v>24</v>
      </c>
      <c r="C20" s="4">
        <f>IF(C22&gt;C21,C22,C21)</f>
        <v>3.8993371167705635</v>
      </c>
      <c r="D20" s="4">
        <f t="shared" ref="D20:J20" si="13">IF(D22&gt;D21,D22,D21)</f>
        <v>3.4682420379331713</v>
      </c>
      <c r="E20" s="4">
        <f t="shared" si="13"/>
        <v>2.8032090915111341</v>
      </c>
      <c r="F20" s="4">
        <f t="shared" si="13"/>
        <v>2.6177031702394924</v>
      </c>
      <c r="G20" s="4">
        <f t="shared" si="13"/>
        <v>2.2911778303092021</v>
      </c>
      <c r="H20" s="4">
        <f t="shared" si="13"/>
        <v>2.0967119165674504</v>
      </c>
      <c r="I20" s="4">
        <f t="shared" si="13"/>
        <v>2.0158557253304754</v>
      </c>
      <c r="J20" s="4" t="str">
        <f t="shared" si="13"/>
        <v xml:space="preserve"> </v>
      </c>
    </row>
    <row r="21" spans="2:10" hidden="1" x14ac:dyDescent="0.3">
      <c r="B21" s="8" t="s">
        <v>10</v>
      </c>
      <c r="C21" s="20">
        <f t="shared" ref="C21:J21" si="14">IF(C4&gt;0,((0.0000255654*(C7^2) - 0.0157978368*(C7) +4.4555073859))*0.85," ")</f>
        <v>3.4743168083289566</v>
      </c>
      <c r="D21" s="20">
        <f t="shared" si="14"/>
        <v>3.1621608229062952</v>
      </c>
      <c r="E21" s="20">
        <f>IF(E4&gt;0,((0.0000255654*(E7^2) - 0.0157978368*(E7) +4.4555073859))*0.85," ")</f>
        <v>2.7509608402120072</v>
      </c>
      <c r="F21" s="20">
        <f t="shared" si="14"/>
        <v>2.4082016520453666</v>
      </c>
      <c r="G21" s="20">
        <f t="shared" si="14"/>
        <v>2.0698298332762186</v>
      </c>
      <c r="H21" s="20">
        <f t="shared" si="14"/>
        <v>1.8507321576872182</v>
      </c>
      <c r="I21" s="20">
        <f t="shared" si="14"/>
        <v>1.7369669819486599</v>
      </c>
      <c r="J21" s="20" t="str">
        <f t="shared" si="14"/>
        <v xml:space="preserve"> </v>
      </c>
    </row>
    <row r="22" spans="2:10" hidden="1" x14ac:dyDescent="0.3">
      <c r="B22" s="8" t="s">
        <v>11</v>
      </c>
      <c r="C22" s="20">
        <f>IF(C4&gt;0,(0.0000255654*(C9^2) - 0.0157978368*(C9) +4.4555073859)," ")</f>
        <v>3.8993371167705635</v>
      </c>
      <c r="D22" s="20">
        <f t="shared" ref="D22:J22" si="15">IF(D4&gt;0,(0.0000255654*(D9^2) - 0.0157978368*(D9) +4.4555073859)," ")</f>
        <v>3.4682420379331713</v>
      </c>
      <c r="E22" s="20">
        <f>IF(E4&gt;0,(0.0000255654*(E9^2) - 0.0157978368*(E9) +4.4555073859)," ")</f>
        <v>2.8032090915111341</v>
      </c>
      <c r="F22" s="20">
        <f t="shared" si="15"/>
        <v>2.6177031702394924</v>
      </c>
      <c r="G22" s="20">
        <f t="shared" si="15"/>
        <v>2.2911778303092021</v>
      </c>
      <c r="H22" s="20">
        <f t="shared" si="15"/>
        <v>2.0967119165674504</v>
      </c>
      <c r="I22" s="20">
        <f t="shared" si="15"/>
        <v>2.0158557253304754</v>
      </c>
      <c r="J22" s="20" t="str">
        <f t="shared" si="15"/>
        <v xml:space="preserve"> </v>
      </c>
    </row>
    <row r="24" spans="2:10" x14ac:dyDescent="0.3">
      <c r="B24" s="10" t="s">
        <v>19</v>
      </c>
      <c r="H24" s="9"/>
    </row>
    <row r="25" spans="2:10" x14ac:dyDescent="0.3">
      <c r="B25" s="8" t="s">
        <v>21</v>
      </c>
      <c r="C25" s="4">
        <f>IF(C$2&gt;0,(C16*(C$2)/10000)," ")</f>
        <v>1.286781248534286</v>
      </c>
      <c r="D25" s="4">
        <f t="shared" ref="D25:I25" si="16">IF(D$2&gt;0,(D16*(D$2)/10000)," ")</f>
        <v>1.1445198725179466</v>
      </c>
      <c r="E25" s="4">
        <f t="shared" si="16"/>
        <v>0.89234161747362395</v>
      </c>
      <c r="F25" s="4">
        <f t="shared" si="16"/>
        <v>0.829463266792695</v>
      </c>
      <c r="G25" s="4">
        <f t="shared" si="16"/>
        <v>0.72776280187609699</v>
      </c>
      <c r="H25" s="4">
        <f t="shared" si="16"/>
        <v>0.66886012350743274</v>
      </c>
      <c r="I25" s="4">
        <f t="shared" si="16"/>
        <v>0.64577975441328261</v>
      </c>
      <c r="J25" s="4" t="str">
        <f t="shared" ref="J25" si="17">IF(J$2&gt;0,(J16*(J$2)/10000)," ")</f>
        <v xml:space="preserve"> </v>
      </c>
    </row>
    <row r="26" spans="2:10" x14ac:dyDescent="0.3">
      <c r="B26" s="8" t="s">
        <v>22</v>
      </c>
      <c r="C26" s="4">
        <f>IF(C$2&gt;0,(C17*(C$2)/10000)," ")</f>
        <v>1.286781248534286</v>
      </c>
      <c r="D26" s="4">
        <f t="shared" ref="D26:I26" si="18">IF(D$2&gt;0,(D17*(D$2)/10000)," ")</f>
        <v>1.1445198725179466</v>
      </c>
      <c r="E26" s="4">
        <f t="shared" si="18"/>
        <v>0.95777638292372447</v>
      </c>
      <c r="F26" s="4">
        <f t="shared" si="18"/>
        <v>0.89822082556536986</v>
      </c>
      <c r="G26" s="4">
        <f t="shared" si="18"/>
        <v>0.78441456612797633</v>
      </c>
      <c r="H26" s="4">
        <f t="shared" si="18"/>
        <v>0.71496974142708447</v>
      </c>
      <c r="I26" s="4">
        <f t="shared" si="18"/>
        <v>0.68468502430483125</v>
      </c>
      <c r="J26" s="4" t="str">
        <f t="shared" ref="J26:J27" si="19">IF(J$2&gt;0,(J17*(J$2)/10000)," ")</f>
        <v xml:space="preserve"> </v>
      </c>
    </row>
    <row r="27" spans="2:10" s="13" customFormat="1" x14ac:dyDescent="0.3">
      <c r="B27" s="8" t="str">
        <f>IF(B37="**","     Ремонтные свинки **","     Ремонтные свинки " )</f>
        <v xml:space="preserve">     Ремонтные свинки **</v>
      </c>
      <c r="C27" s="5">
        <f>IF(C$2&gt;0,(C18*(C$2)/10000)," ")</f>
        <v>1.2481778110782573</v>
      </c>
      <c r="D27" s="5">
        <f t="shared" ref="D27:I27" si="20">IF(D$2&gt;0,(D18*(D$2)/10000)," ")</f>
        <v>1.1101842763424081</v>
      </c>
      <c r="E27" s="5">
        <f t="shared" si="20"/>
        <v>0.92904309143601271</v>
      </c>
      <c r="F27" s="5">
        <f t="shared" si="20"/>
        <v>0.87127420079840889</v>
      </c>
      <c r="G27" s="5">
        <f t="shared" si="20"/>
        <v>0.76088212914413711</v>
      </c>
      <c r="H27" s="5">
        <f t="shared" si="20"/>
        <v>0.61380000000000001</v>
      </c>
      <c r="I27" s="5">
        <f t="shared" si="20"/>
        <v>0.61380000000000001</v>
      </c>
      <c r="J27" s="5" t="str">
        <f t="shared" si="19"/>
        <v xml:space="preserve"> </v>
      </c>
    </row>
    <row r="28" spans="2:10" x14ac:dyDescent="0.3">
      <c r="B28" s="8" t="s">
        <v>23</v>
      </c>
      <c r="C28" s="4">
        <f>IF(C$2&gt;0,(C19*(C$2)/10000)," ")</f>
        <v>1.2912849829041559</v>
      </c>
      <c r="D28" s="4">
        <f t="shared" ref="D28:J28" si="21">IF(D$2&gt;0,(D19*(D$2)/10000)," ")</f>
        <v>1.1880116276736286</v>
      </c>
      <c r="E28" s="4">
        <f t="shared" si="21"/>
        <v>0.98474359196301775</v>
      </c>
      <c r="F28" s="4">
        <f t="shared" si="21"/>
        <v>0.93443184320531059</v>
      </c>
      <c r="G28" s="4">
        <f t="shared" si="21"/>
        <v>0.85752290945060528</v>
      </c>
      <c r="H28" s="4">
        <f t="shared" si="21"/>
        <v>0.82119301663625066</v>
      </c>
      <c r="I28" s="4">
        <f t="shared" si="21"/>
        <v>0.8270178424893706</v>
      </c>
      <c r="J28" s="4" t="str">
        <f t="shared" si="21"/>
        <v xml:space="preserve"> </v>
      </c>
    </row>
    <row r="29" spans="2:10" x14ac:dyDescent="0.3">
      <c r="B29" s="8" t="s">
        <v>24</v>
      </c>
      <c r="C29" s="4">
        <f>IF(C$2&gt;0,(C20*(C$2)/10000)," ")</f>
        <v>1.286781248534286</v>
      </c>
      <c r="D29" s="4">
        <f t="shared" ref="D29:I29" si="22">IF(D$2&gt;0,(D20*(D$2)/10000)," ")</f>
        <v>1.1445198725179466</v>
      </c>
      <c r="E29" s="4">
        <f t="shared" si="22"/>
        <v>0.92505900019867426</v>
      </c>
      <c r="F29" s="4">
        <f t="shared" si="22"/>
        <v>0.86384204617903249</v>
      </c>
      <c r="G29" s="4">
        <f t="shared" si="22"/>
        <v>0.75608868400203666</v>
      </c>
      <c r="H29" s="4">
        <f t="shared" si="22"/>
        <v>0.69191493246725855</v>
      </c>
      <c r="I29" s="4">
        <f t="shared" si="22"/>
        <v>0.66523238935905693</v>
      </c>
      <c r="J29" s="4" t="str">
        <f>IF(J$2&gt;0,(J20*(J$2)/10000)," ")</f>
        <v xml:space="preserve"> </v>
      </c>
    </row>
    <row r="30" spans="2:10" x14ac:dyDescent="0.3">
      <c r="B30" s="8" t="s">
        <v>25</v>
      </c>
      <c r="C30" s="4">
        <f>IF(C$2&gt;0,AVERAGE(C26,C28)," ")</f>
        <v>1.289033115719221</v>
      </c>
      <c r="D30" s="4">
        <f t="shared" ref="D30:J30" si="23">IF(D$2&gt;0,AVERAGE(D26,D28)," ")</f>
        <v>1.1662657500957876</v>
      </c>
      <c r="E30" s="4">
        <f t="shared" si="23"/>
        <v>0.97125998744337116</v>
      </c>
      <c r="F30" s="4">
        <f t="shared" si="23"/>
        <v>0.91632633438534028</v>
      </c>
      <c r="G30" s="4">
        <f t="shared" si="23"/>
        <v>0.8209687377892908</v>
      </c>
      <c r="H30" s="4">
        <f t="shared" si="23"/>
        <v>0.76808137903166762</v>
      </c>
      <c r="I30" s="4">
        <f t="shared" si="23"/>
        <v>0.75585143339710092</v>
      </c>
      <c r="J30" s="4" t="str">
        <f t="shared" si="23"/>
        <v xml:space="preserve"> </v>
      </c>
    </row>
    <row r="31" spans="2:10" hidden="1" x14ac:dyDescent="0.3">
      <c r="B31" s="10" t="s">
        <v>14</v>
      </c>
      <c r="C31" s="19">
        <f>C19/C16</f>
        <v>1.0035000000000001</v>
      </c>
      <c r="D31" s="19">
        <f t="shared" ref="D31:J31" si="24">D19/D16</f>
        <v>1.038</v>
      </c>
      <c r="E31" s="19">
        <f t="shared" si="24"/>
        <v>1.10355</v>
      </c>
      <c r="F31" s="19">
        <f t="shared" si="24"/>
        <v>1.1265499999999999</v>
      </c>
      <c r="G31" s="19">
        <f t="shared" si="24"/>
        <v>1.1783000000000001</v>
      </c>
      <c r="H31" s="19">
        <f t="shared" si="24"/>
        <v>1.2277499999999999</v>
      </c>
      <c r="I31" s="19">
        <f t="shared" si="24"/>
        <v>1.2806500000000001</v>
      </c>
      <c r="J31" s="19" t="e">
        <f t="shared" si="24"/>
        <v>#VALUE!</v>
      </c>
    </row>
    <row r="32" spans="2:10" hidden="1" x14ac:dyDescent="0.3">
      <c r="B32" s="10"/>
      <c r="C32" s="19"/>
      <c r="D32" s="19"/>
      <c r="E32" s="19"/>
      <c r="F32" s="19"/>
      <c r="G32" s="19"/>
      <c r="H32" s="19"/>
      <c r="I32" s="19"/>
      <c r="J32" s="19"/>
    </row>
    <row r="33" spans="2:11" ht="21" customHeight="1" x14ac:dyDescent="0.3">
      <c r="B33" s="29" t="s">
        <v>15</v>
      </c>
      <c r="C33" s="31" t="s">
        <v>27</v>
      </c>
      <c r="D33" s="31"/>
      <c r="E33" s="31"/>
      <c r="F33" s="31"/>
      <c r="G33" s="31"/>
      <c r="H33" s="31"/>
      <c r="I33" s="31"/>
      <c r="J33" s="31"/>
    </row>
    <row r="34" spans="2:11" ht="22.95" customHeight="1" x14ac:dyDescent="0.3">
      <c r="B34" s="30"/>
      <c r="C34" s="31"/>
      <c r="D34" s="31"/>
      <c r="E34" s="31"/>
      <c r="F34" s="31"/>
      <c r="G34" s="31"/>
      <c r="H34" s="31"/>
      <c r="I34" s="31"/>
      <c r="J34" s="31"/>
    </row>
    <row r="35" spans="2:11" x14ac:dyDescent="0.3">
      <c r="B35" s="23" t="str">
        <f>(IF(C22&lt;C21,"!",IF(D22&lt;D21,"!",IF(E22&lt;E21,"!",IF(F22&lt;F21,"!",IF(G22&lt;G21,"!",IF(H22&lt;H21,"!",IF(I22&lt;I21,"!",IF(J22&lt;J21,"!"," ")))))))))</f>
        <v xml:space="preserve"> </v>
      </c>
      <c r="C35" s="28" t="str">
        <f>IF(B35="!","Поскольку весовой диапазон растянут , биологическая потребность рекомендуемая PIC установлена в размере 85% от потребности в начале фазы"," ")</f>
        <v xml:space="preserve"> </v>
      </c>
      <c r="D35" s="28"/>
      <c r="E35" s="28"/>
      <c r="F35" s="28"/>
      <c r="G35" s="28"/>
      <c r="H35" s="28"/>
      <c r="I35" s="28"/>
      <c r="J35" s="28"/>
      <c r="K35" s="22"/>
    </row>
    <row r="36" spans="2:11" x14ac:dyDescent="0.3">
      <c r="B36" s="23"/>
      <c r="C36" s="28"/>
      <c r="D36" s="28"/>
      <c r="E36" s="28"/>
      <c r="F36" s="28"/>
      <c r="G36" s="28"/>
      <c r="H36" s="28"/>
      <c r="I36" s="28"/>
      <c r="J36" s="28"/>
      <c r="K36" s="22"/>
    </row>
    <row r="37" spans="2:11" ht="15" customHeight="1" x14ac:dyDescent="0.3">
      <c r="B37" s="23" t="str">
        <f>(IF(C18&lt;1.9,"**",IF(D18&lt;1.9,"**",IF(E18&lt;1.9,"**",IF(F18&lt;1.9,"**",IF(G18&lt;1.9,"**",IF(H18&lt;1.9,"**",IF(I18&lt;1.9,"**",IF(J18&lt;1.9,"**"," ")))))))))</f>
        <v>**</v>
      </c>
      <c r="C37" s="28" t="str">
        <f>IF(B37="**","если целевой вес при осеменении не достигнут, PIC рекомендует использовать 97% потребности в SID лизине  для товарных свиней весом более 90 кг"," ")</f>
        <v>если целевой вес при осеменении не достигнут, PIC рекомендует использовать 97% потребности в SID лизине  для товарных свиней весом более 90 кг</v>
      </c>
      <c r="D37" s="28"/>
      <c r="E37" s="28"/>
      <c r="F37" s="28"/>
      <c r="G37" s="28"/>
      <c r="H37" s="28"/>
      <c r="I37" s="28"/>
      <c r="J37" s="28"/>
    </row>
    <row r="38" spans="2:11" ht="15" customHeight="1" x14ac:dyDescent="0.3">
      <c r="B38" s="23"/>
      <c r="C38" s="28"/>
      <c r="D38" s="28"/>
      <c r="E38" s="28"/>
      <c r="F38" s="28"/>
      <c r="G38" s="28"/>
      <c r="H38" s="28"/>
      <c r="I38" s="28"/>
      <c r="J38" s="28"/>
    </row>
    <row r="39" spans="2:11" x14ac:dyDescent="0.3">
      <c r="I39" s="17"/>
    </row>
    <row r="41" spans="2:11" x14ac:dyDescent="0.3">
      <c r="G41" s="17"/>
    </row>
  </sheetData>
  <sheetProtection algorithmName="SHA-512" hashValue="UIcmMbHEGX5LqdlZYFBLzUqIwqD/1WnHGr5DA3rGs+mLNTFzW3uXzHwcjPaLhpfHK88icPTbrYAKS4xjeJNM6Q==" saltValue="GfsAMEjwK8YO1WqFs0K0yQ==" spinCount="100000" sheet="1" objects="1" scenarios="1"/>
  <mergeCells count="6">
    <mergeCell ref="B35:B36"/>
    <mergeCell ref="C35:J36"/>
    <mergeCell ref="B37:B38"/>
    <mergeCell ref="C37:J38"/>
    <mergeCell ref="B33:B34"/>
    <mergeCell ref="C33:J34"/>
  </mergeCells>
  <conditionalFormatting sqref="C18:J18">
    <cfRule type="cellIs" dxfId="1" priority="2" operator="lessThanOrEqual">
      <formula>1.9</formula>
    </cfRule>
  </conditionalFormatting>
  <conditionalFormatting sqref="C27:J27">
    <cfRule type="cellIs" dxfId="0" priority="1" operator="lessThanOrEqual">
      <formula>0.65</formula>
    </cfRule>
  </conditionalFormatting>
  <dataValidations count="1">
    <dataValidation type="decimal" errorStyle="warning" allowBlank="1" showInputMessage="1" showErrorMessage="1" error="This calculator is based on data between 11 and 150 kg. It is not recommended to use for body weight outside of this range." sqref="C4:J5" xr:uid="{B3115BE8-5E31-4CA9-9369-CFD925538335}">
      <formula1>11</formula1>
      <formula2>150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4cc2e9b-5efc-4a56-b7a5-4bc072b79e78">
      <UserInfo>
        <DisplayName>Luis Zaragoza</DisplayName>
        <AccountId>82</AccountId>
        <AccountType/>
      </UserInfo>
      <UserInfo>
        <DisplayName>Dan Hamilton</DisplayName>
        <AccountId>199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35929B912A24BBD8B2FFC0C87E709" ma:contentTypeVersion="4" ma:contentTypeDescription="Create a new document." ma:contentTypeScope="" ma:versionID="994cfc7aa69f33d22703884a215541c9">
  <xsd:schema xmlns:xsd="http://www.w3.org/2001/XMLSchema" xmlns:xs="http://www.w3.org/2001/XMLSchema" xmlns:p="http://schemas.microsoft.com/office/2006/metadata/properties" xmlns:ns2="0d5007d6-10e6-4b05-93e0-4ceea4a36e76" xmlns:ns3="34cc2e9b-5efc-4a56-b7a5-4bc072b79e78" targetNamespace="http://schemas.microsoft.com/office/2006/metadata/properties" ma:root="true" ma:fieldsID="9657231a56e5a67fc30dc74254921b5b" ns2:_="" ns3:_="">
    <xsd:import namespace="0d5007d6-10e6-4b05-93e0-4ceea4a36e76"/>
    <xsd:import namespace="34cc2e9b-5efc-4a56-b7a5-4bc072b79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07d6-10e6-4b05-93e0-4ceea4a3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2e9b-5efc-4a56-b7a5-4bc072b79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50574-65ED-4339-8664-47EF158330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325E3E-A004-4448-908E-37F4EB0D14EC}">
  <ds:schemaRefs>
    <ds:schemaRef ds:uri="http://www.w3.org/XML/1998/namespace"/>
    <ds:schemaRef ds:uri="0d5007d6-10e6-4b05-93e0-4ceea4a36e76"/>
    <ds:schemaRef ds:uri="34cc2e9b-5efc-4a56-b7a5-4bc072b79e78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A6C5B1-3765-4288-8A6A-2DDBDB1E6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5007d6-10e6-4b05-93e0-4ceea4a36e76"/>
    <ds:schemaRef ds:uri="34cc2e9b-5efc-4a56-b7a5-4bc072b79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Инструкция</vt:lpstr>
      <vt:lpstr>Imperial - ME</vt:lpstr>
      <vt:lpstr>ОЭ Метрика</vt:lpstr>
    </vt:vector>
  </TitlesOfParts>
  <Manager/>
  <Company>Genus,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mgoncalves</dc:creator>
  <cp:keywords/>
  <dc:description/>
  <cp:lastModifiedBy>Ilia Zubtsov</cp:lastModifiedBy>
  <cp:revision/>
  <dcterms:created xsi:type="dcterms:W3CDTF">2016-02-24T09:53:59Z</dcterms:created>
  <dcterms:modified xsi:type="dcterms:W3CDTF">2022-02-17T07:06:49Z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0x01010084435929B912A24BBD8B2FFC0C87E709</vt:lpwstr>
  </property>
</Properties>
</file>