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rnavales\Dropbox\Material PIC\Tools\PIC Feeding levels for Maternal and Sireline Females\"/>
    </mc:Choice>
  </mc:AlternateContent>
  <xr:revisionPtr revIDLastSave="0" documentId="13_ncr:1_{2F22573D-1DAA-4013-93A6-CEF03A7C64CF}" xr6:coauthVersionLast="45" xr6:coauthVersionMax="45" xr10:uidLastSave="{00000000-0000-0000-0000-000000000000}"/>
  <workbookProtection workbookAlgorithmName="SHA-512" workbookHashValue="qH5hT/Kc3w4br/r5mlW1a1o/TgTQ1C7W1RpEJK32W/8rdJLNoqciwuepkCuir4UF9ywOuCukM39GmP3ZBI3eyQ==" workbookSaltValue="+EbPmfdwpM2yNaWjRXVCtg==" workbookSpinCount="100000" lockStructure="1"/>
  <bookViews>
    <workbookView xWindow="-108" yWindow="-108" windowWidth="23256" windowHeight="12576" tabRatio="771" activeTab="1" xr2:uid="{00000000-000D-0000-FFFF-FFFF00000000}"/>
  </bookViews>
  <sheets>
    <sheet name="Instruction" sheetId="16" r:id="rId1"/>
    <sheet name="Maternal lines" sheetId="2" r:id="rId2"/>
    <sheet name="FFM" sheetId="15" state="hidden" r:id="rId3"/>
    <sheet name="Terminal lines" sheetId="5" state="hidden" r:id="rId4"/>
    <sheet name="I. Herd Sire (imperial)" sheetId="11" state="hidden" r:id="rId5"/>
    <sheet name="FFS" sheetId="13" state="hidden" r:id="rId6"/>
    <sheet name="II. Herd Maternal (imperial)" sheetId="4" state="hidden" r:id="rId7"/>
  </sheets>
  <definedNames>
    <definedName name="ID" localSheetId="2" hidden="1">"2d8747cb-4948-4bb2-a224-86aa92b6e6ca"</definedName>
    <definedName name="ID" localSheetId="5" hidden="1">"1ce7a4c7-14b6-4446-8d10-8aadfb53063d"</definedName>
    <definedName name="ID" localSheetId="4" hidden="1">"3950dbd3-0125-4982-9a0e-8f16922646bf"</definedName>
    <definedName name="ID" localSheetId="6" hidden="1">"cdf343e6-8879-416c-a0d8-162043b1ffab"</definedName>
    <definedName name="ID" localSheetId="0" hidden="1">"d74905d5-ee5f-4f19-b862-d96be0364097"</definedName>
    <definedName name="ID" localSheetId="1" hidden="1">"21168ec4-36c5-485a-a17c-0636ade3cf4b"</definedName>
    <definedName name="ID" localSheetId="3" hidden="1">"48e0b53b-3934-4a99-be50-dcad973a7159"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5" l="1"/>
  <c r="B16" i="2"/>
  <c r="AI6" i="13"/>
  <c r="X8" i="13"/>
  <c r="G7" i="13" l="1"/>
  <c r="B5" i="15"/>
  <c r="AI6" i="15"/>
  <c r="AE5" i="15"/>
  <c r="AD5" i="15"/>
  <c r="AC5" i="15"/>
  <c r="AB5" i="15"/>
  <c r="N6" i="15"/>
  <c r="L6" i="15"/>
  <c r="G7" i="15"/>
  <c r="D7" i="15"/>
  <c r="C7" i="5"/>
  <c r="C7" i="2"/>
  <c r="B5" i="13"/>
  <c r="A5" i="13"/>
  <c r="A5" i="15"/>
  <c r="C51" i="5" l="1"/>
  <c r="C52" i="5"/>
  <c r="X8" i="15"/>
  <c r="V8" i="15" s="1"/>
  <c r="Y8" i="15"/>
  <c r="X9" i="15"/>
  <c r="AL9" i="15"/>
  <c r="Y9" i="15"/>
  <c r="AM9" i="15" s="1"/>
  <c r="B54" i="2" s="1"/>
  <c r="Y7" i="15"/>
  <c r="W7" i="15"/>
  <c r="X7" i="15"/>
  <c r="V7" i="15" s="1"/>
  <c r="C53" i="2"/>
  <c r="C52" i="2"/>
  <c r="V9" i="15"/>
  <c r="W9" i="15"/>
  <c r="AM7" i="15"/>
  <c r="AL7" i="15"/>
  <c r="C8" i="5"/>
  <c r="AL8" i="15"/>
  <c r="N7" i="15"/>
  <c r="AD6" i="15" s="1"/>
  <c r="L7" i="15"/>
  <c r="AB6" i="15" s="1"/>
  <c r="L8" i="15"/>
  <c r="AB7" i="15" s="1"/>
  <c r="L10" i="15"/>
  <c r="L12" i="15"/>
  <c r="AB11" i="15" s="1"/>
  <c r="L14" i="15"/>
  <c r="L16" i="15"/>
  <c r="L18" i="15"/>
  <c r="L19" i="15"/>
  <c r="AB18" i="15" s="1"/>
  <c r="L20" i="15"/>
  <c r="L22" i="15"/>
  <c r="L23" i="15"/>
  <c r="AB22" i="15" s="1"/>
  <c r="L24" i="15"/>
  <c r="L26" i="15"/>
  <c r="L27" i="15"/>
  <c r="L28" i="15"/>
  <c r="L30" i="15"/>
  <c r="L32" i="15"/>
  <c r="L34" i="15"/>
  <c r="L36" i="15"/>
  <c r="AB35" i="15" s="1"/>
  <c r="L38" i="15"/>
  <c r="L39" i="15"/>
  <c r="AB38" i="15" s="1"/>
  <c r="L40" i="15"/>
  <c r="AB39" i="15" s="1"/>
  <c r="L42" i="15"/>
  <c r="L44" i="15"/>
  <c r="AB43" i="15" s="1"/>
  <c r="L46" i="15"/>
  <c r="L48" i="15"/>
  <c r="AB47" i="15" s="1"/>
  <c r="L50" i="15"/>
  <c r="L51" i="15"/>
  <c r="AB50" i="15" s="1"/>
  <c r="L52" i="15"/>
  <c r="AB51" i="15" s="1"/>
  <c r="L54" i="15"/>
  <c r="L55" i="15"/>
  <c r="AB54" i="15" s="1"/>
  <c r="L56" i="15"/>
  <c r="L58" i="15"/>
  <c r="N6" i="13"/>
  <c r="L7" i="13"/>
  <c r="L8" i="13"/>
  <c r="L10" i="13"/>
  <c r="AB9" i="13" s="1"/>
  <c r="L12" i="13"/>
  <c r="L14" i="13"/>
  <c r="AB13" i="13" s="1"/>
  <c r="L16" i="13"/>
  <c r="L18" i="13"/>
  <c r="AB17" i="13" s="1"/>
  <c r="L19" i="13"/>
  <c r="L20" i="13"/>
  <c r="L22" i="13"/>
  <c r="L24" i="13"/>
  <c r="L26" i="13"/>
  <c r="L28" i="13"/>
  <c r="L30" i="13"/>
  <c r="AB29" i="13" s="1"/>
  <c r="L32" i="13"/>
  <c r="L34" i="13"/>
  <c r="AB33" i="13" s="1"/>
  <c r="L35" i="13"/>
  <c r="AB34" i="13" s="1"/>
  <c r="L36" i="13"/>
  <c r="L38" i="13"/>
  <c r="AB37" i="13" s="1"/>
  <c r="L40" i="13"/>
  <c r="L42" i="13"/>
  <c r="AB41" i="13" s="1"/>
  <c r="L44" i="13"/>
  <c r="L46" i="13"/>
  <c r="AB45" i="13" s="1"/>
  <c r="L48" i="13"/>
  <c r="L50" i="13"/>
  <c r="AB49" i="13" s="1"/>
  <c r="L51" i="13"/>
  <c r="AB50" i="13" s="1"/>
  <c r="L52" i="13"/>
  <c r="L54" i="13"/>
  <c r="AB53" i="13" s="1"/>
  <c r="L56" i="13"/>
  <c r="L58" i="13"/>
  <c r="AB57" i="13" s="1"/>
  <c r="L6" i="13"/>
  <c r="C63" i="2"/>
  <c r="C61" i="2" s="1"/>
  <c r="C62" i="5"/>
  <c r="C60" i="5" s="1"/>
  <c r="E9" i="4"/>
  <c r="E10" i="4"/>
  <c r="E11" i="4"/>
  <c r="E12" i="4"/>
  <c r="E13" i="4"/>
  <c r="E14" i="4"/>
  <c r="E8" i="4"/>
  <c r="C54" i="2"/>
  <c r="E9" i="11"/>
  <c r="E10" i="11"/>
  <c r="E11" i="11"/>
  <c r="E12" i="11"/>
  <c r="E13" i="11"/>
  <c r="E14" i="11"/>
  <c r="E8" i="11"/>
  <c r="AC57" i="15"/>
  <c r="AB57" i="15"/>
  <c r="M57" i="15"/>
  <c r="AB55" i="15"/>
  <c r="AC55" i="15"/>
  <c r="M55" i="15"/>
  <c r="AC54" i="15"/>
  <c r="AC53" i="15"/>
  <c r="AB53" i="15"/>
  <c r="M53" i="15"/>
  <c r="L53" i="15" s="1"/>
  <c r="AB52" i="15"/>
  <c r="AC51" i="15"/>
  <c r="M51" i="15"/>
  <c r="AC50" i="15"/>
  <c r="AC49" i="15"/>
  <c r="AB49" i="15"/>
  <c r="M49" i="15"/>
  <c r="L49" i="15" s="1"/>
  <c r="AB48" i="15"/>
  <c r="AC47" i="15"/>
  <c r="M47" i="15"/>
  <c r="AC45" i="15"/>
  <c r="AB45" i="15"/>
  <c r="M45" i="15"/>
  <c r="AC43" i="15"/>
  <c r="M43" i="15"/>
  <c r="L43" i="15" s="1"/>
  <c r="AB42" i="15" s="1"/>
  <c r="AB41" i="15"/>
  <c r="AC41" i="15"/>
  <c r="M41" i="15"/>
  <c r="AC39" i="15"/>
  <c r="M39" i="15"/>
  <c r="AC38" i="15" s="1"/>
  <c r="AB37" i="15"/>
  <c r="AC37" i="15"/>
  <c r="M37" i="15"/>
  <c r="AC35" i="15"/>
  <c r="M35" i="15"/>
  <c r="AC34" i="15" s="1"/>
  <c r="AB33" i="15"/>
  <c r="AC33" i="15"/>
  <c r="M33" i="15"/>
  <c r="L33" i="15" s="1"/>
  <c r="AB32" i="15"/>
  <c r="AC32" i="15"/>
  <c r="AC31" i="15"/>
  <c r="M31" i="15"/>
  <c r="AB29" i="15"/>
  <c r="G30" i="15"/>
  <c r="D30" i="15"/>
  <c r="AC29" i="15"/>
  <c r="M29" i="15"/>
  <c r="L29" i="15" s="1"/>
  <c r="AB28" i="15" s="1"/>
  <c r="G29" i="15"/>
  <c r="D29" i="15"/>
  <c r="G28" i="15"/>
  <c r="D28" i="15"/>
  <c r="AC27" i="15"/>
  <c r="M27" i="15"/>
  <c r="AC26" i="15" s="1"/>
  <c r="G27" i="15"/>
  <c r="D27" i="15"/>
  <c r="G26" i="15"/>
  <c r="D26" i="15"/>
  <c r="AC25" i="15"/>
  <c r="AB25" i="15"/>
  <c r="M25" i="15"/>
  <c r="L25" i="15" s="1"/>
  <c r="G25" i="15"/>
  <c r="D25" i="15"/>
  <c r="G24" i="15"/>
  <c r="D24" i="15"/>
  <c r="AC23" i="15"/>
  <c r="AB23" i="15"/>
  <c r="M23" i="15"/>
  <c r="G23" i="15"/>
  <c r="D23" i="15"/>
  <c r="AC22" i="15"/>
  <c r="AB21" i="15"/>
  <c r="G22" i="15"/>
  <c r="D22" i="15"/>
  <c r="AC21" i="15"/>
  <c r="M21" i="15"/>
  <c r="L21" i="15" s="1"/>
  <c r="AB20" i="15" s="1"/>
  <c r="G21" i="15"/>
  <c r="D21" i="15"/>
  <c r="G20" i="15"/>
  <c r="D20" i="15"/>
  <c r="AC19" i="15"/>
  <c r="AB19" i="15"/>
  <c r="M19" i="15"/>
  <c r="AC18" i="15" s="1"/>
  <c r="G19" i="15"/>
  <c r="D19" i="15"/>
  <c r="G18" i="15"/>
  <c r="D18" i="15"/>
  <c r="AC17" i="15"/>
  <c r="AB17" i="15"/>
  <c r="M17" i="15"/>
  <c r="L17" i="15" s="1"/>
  <c r="G17" i="15"/>
  <c r="D17" i="15"/>
  <c r="G16" i="15"/>
  <c r="D16" i="15"/>
  <c r="AC15" i="15"/>
  <c r="AB15" i="15"/>
  <c r="M15" i="15"/>
  <c r="L15" i="15" s="1"/>
  <c r="AB14" i="15" s="1"/>
  <c r="G15" i="15"/>
  <c r="D15" i="15"/>
  <c r="AB13" i="15"/>
  <c r="G14" i="15"/>
  <c r="D14" i="15"/>
  <c r="AC13" i="15"/>
  <c r="M13" i="15"/>
  <c r="L13" i="15" s="1"/>
  <c r="G13" i="15"/>
  <c r="D13" i="15"/>
  <c r="AI12" i="15"/>
  <c r="G12" i="15"/>
  <c r="D12" i="15"/>
  <c r="AI11" i="15"/>
  <c r="AC11" i="15"/>
  <c r="M11" i="15"/>
  <c r="L11" i="15" s="1"/>
  <c r="AB10" i="15" s="1"/>
  <c r="G11" i="15"/>
  <c r="D11" i="15"/>
  <c r="AI10" i="15"/>
  <c r="AC10" i="15"/>
  <c r="G10" i="15"/>
  <c r="D10" i="15"/>
  <c r="AI9" i="15"/>
  <c r="AC9" i="15"/>
  <c r="AB9" i="15"/>
  <c r="M9" i="15"/>
  <c r="L9" i="15" s="1"/>
  <c r="AB8" i="15" s="1"/>
  <c r="AC8" i="15"/>
  <c r="G9" i="15"/>
  <c r="D9" i="15"/>
  <c r="B9" i="15"/>
  <c r="AI8" i="15"/>
  <c r="G8" i="15"/>
  <c r="D8" i="15"/>
  <c r="AI7" i="15"/>
  <c r="AC7" i="15"/>
  <c r="O7" i="15"/>
  <c r="O8" i="15" s="1"/>
  <c r="M7" i="15"/>
  <c r="AC6" i="15" s="1"/>
  <c r="O10" i="4"/>
  <c r="O11" i="4"/>
  <c r="O12" i="4"/>
  <c r="O13" i="4"/>
  <c r="O14" i="4"/>
  <c r="O9" i="4"/>
  <c r="C45" i="2"/>
  <c r="D8" i="4" s="1"/>
  <c r="G8" i="4" s="1"/>
  <c r="AB12" i="15"/>
  <c r="AC28" i="15"/>
  <c r="AC42" i="15"/>
  <c r="AC20" i="15"/>
  <c r="AC48" i="15"/>
  <c r="AB26" i="15"/>
  <c r="AB16" i="15"/>
  <c r="AC16" i="15"/>
  <c r="AE6" i="15"/>
  <c r="AC24" i="15"/>
  <c r="AC52" i="15"/>
  <c r="AB24" i="15"/>
  <c r="B9" i="13"/>
  <c r="C12" i="5"/>
  <c r="C44" i="5"/>
  <c r="D8" i="11" s="1"/>
  <c r="J8" i="11" s="1"/>
  <c r="O10" i="11"/>
  <c r="O11" i="11"/>
  <c r="O12" i="11"/>
  <c r="O13" i="11"/>
  <c r="O14" i="11"/>
  <c r="O9" i="11"/>
  <c r="AC57" i="13"/>
  <c r="M57" i="13"/>
  <c r="L57" i="13" s="1"/>
  <c r="AB56" i="13" s="1"/>
  <c r="AC56" i="13"/>
  <c r="AC55" i="13"/>
  <c r="AB55" i="13"/>
  <c r="M55" i="13"/>
  <c r="L55" i="13" s="1"/>
  <c r="AB54" i="13" s="1"/>
  <c r="AC54" i="13"/>
  <c r="AC53" i="13"/>
  <c r="M53" i="13"/>
  <c r="L53" i="13" s="1"/>
  <c r="AB52" i="13"/>
  <c r="AC51" i="13"/>
  <c r="AB51" i="13"/>
  <c r="M51" i="13"/>
  <c r="AC50" i="13"/>
  <c r="AC49" i="13"/>
  <c r="M49" i="13"/>
  <c r="L49" i="13" s="1"/>
  <c r="AC48" i="13"/>
  <c r="AC47" i="13"/>
  <c r="AB47" i="13"/>
  <c r="M47" i="13"/>
  <c r="L47" i="13" s="1"/>
  <c r="AC46" i="13"/>
  <c r="AC45" i="13"/>
  <c r="M45" i="13"/>
  <c r="AC43" i="13"/>
  <c r="AB43" i="13"/>
  <c r="M43" i="13"/>
  <c r="AC41" i="13"/>
  <c r="M41" i="13"/>
  <c r="L41" i="13" s="1"/>
  <c r="AB40" i="13" s="1"/>
  <c r="AC39" i="13"/>
  <c r="AB39" i="13"/>
  <c r="M39" i="13"/>
  <c r="L39" i="13" s="1"/>
  <c r="AB38" i="13" s="1"/>
  <c r="AC37" i="13"/>
  <c r="M37" i="13"/>
  <c r="L37" i="13" s="1"/>
  <c r="AB36" i="13"/>
  <c r="AC35" i="13"/>
  <c r="AB35" i="13"/>
  <c r="M35" i="13"/>
  <c r="AC34" i="13"/>
  <c r="AC33" i="13"/>
  <c r="M33" i="13"/>
  <c r="L33" i="13" s="1"/>
  <c r="AC32" i="13"/>
  <c r="AC31" i="13"/>
  <c r="AB31" i="13"/>
  <c r="M31" i="13"/>
  <c r="L31" i="13" s="1"/>
  <c r="AC30" i="13"/>
  <c r="AC29" i="13"/>
  <c r="M29" i="13"/>
  <c r="L29" i="13" s="1"/>
  <c r="AB28" i="13" s="1"/>
  <c r="G30" i="13"/>
  <c r="D30" i="13"/>
  <c r="AC27" i="13"/>
  <c r="AB27" i="13"/>
  <c r="G29" i="13"/>
  <c r="D29" i="13"/>
  <c r="M27" i="13"/>
  <c r="G28" i="13"/>
  <c r="D28" i="13"/>
  <c r="AC25" i="13"/>
  <c r="AB25" i="13"/>
  <c r="G27" i="13"/>
  <c r="D27" i="13"/>
  <c r="M25" i="13"/>
  <c r="G26" i="13"/>
  <c r="D26" i="13"/>
  <c r="AC23" i="13"/>
  <c r="AB23" i="13"/>
  <c r="G25" i="13"/>
  <c r="D25" i="13"/>
  <c r="M23" i="13"/>
  <c r="AC22" i="13" s="1"/>
  <c r="G24" i="13"/>
  <c r="D24" i="13"/>
  <c r="AC21" i="13"/>
  <c r="AB21" i="13"/>
  <c r="G23" i="13"/>
  <c r="D23" i="13"/>
  <c r="M21" i="13"/>
  <c r="L21" i="13" s="1"/>
  <c r="AB20" i="13" s="1"/>
  <c r="G22" i="13"/>
  <c r="D22" i="13"/>
  <c r="AC19" i="13"/>
  <c r="AB19" i="13"/>
  <c r="G21" i="13"/>
  <c r="D21" i="13"/>
  <c r="M19" i="13"/>
  <c r="AC18" i="13" s="1"/>
  <c r="G20" i="13"/>
  <c r="D20" i="13"/>
  <c r="AC17" i="13"/>
  <c r="G19" i="13"/>
  <c r="D19" i="13"/>
  <c r="M17" i="13"/>
  <c r="G18" i="13"/>
  <c r="D18" i="13"/>
  <c r="AC15" i="13"/>
  <c r="AB15" i="13"/>
  <c r="G17" i="13"/>
  <c r="D17" i="13"/>
  <c r="M15" i="13"/>
  <c r="G16" i="13"/>
  <c r="D16" i="13"/>
  <c r="AC13" i="13"/>
  <c r="G15" i="13"/>
  <c r="D15" i="13"/>
  <c r="M13" i="13"/>
  <c r="AI12" i="13"/>
  <c r="G14" i="13"/>
  <c r="D14" i="13"/>
  <c r="AC11" i="13"/>
  <c r="AB11" i="13"/>
  <c r="AI11" i="13"/>
  <c r="G13" i="13"/>
  <c r="D13" i="13"/>
  <c r="M11" i="13"/>
  <c r="L11" i="13" s="1"/>
  <c r="AB10" i="13" s="1"/>
  <c r="AI10" i="13"/>
  <c r="G12" i="13"/>
  <c r="D12" i="13"/>
  <c r="AC9" i="13"/>
  <c r="AI9" i="13"/>
  <c r="G11" i="13"/>
  <c r="D11" i="13"/>
  <c r="M9" i="13"/>
  <c r="L9" i="13" s="1"/>
  <c r="AC8" i="13"/>
  <c r="AI8" i="13"/>
  <c r="G10" i="13"/>
  <c r="D10" i="13"/>
  <c r="AC7" i="13"/>
  <c r="AB7" i="13"/>
  <c r="AI7" i="13"/>
  <c r="G9" i="13"/>
  <c r="D9" i="13"/>
  <c r="O7" i="13"/>
  <c r="M7" i="13"/>
  <c r="AC6" i="13" s="1"/>
  <c r="G8" i="13"/>
  <c r="D8" i="13"/>
  <c r="AE5" i="13"/>
  <c r="AC5" i="13"/>
  <c r="AD5" i="13"/>
  <c r="AB5" i="13"/>
  <c r="D7" i="13"/>
  <c r="Q17" i="11"/>
  <c r="Q15" i="11"/>
  <c r="S15" i="11" s="1"/>
  <c r="R15" i="11"/>
  <c r="E15" i="11"/>
  <c r="N7" i="13"/>
  <c r="AD6" i="13" s="1"/>
  <c r="AC10" i="13"/>
  <c r="AC28" i="13"/>
  <c r="AB6" i="13"/>
  <c r="AB46" i="13"/>
  <c r="AB8" i="13"/>
  <c r="AB18" i="13"/>
  <c r="AB32" i="13"/>
  <c r="AB48" i="13"/>
  <c r="AC20" i="13"/>
  <c r="AC36" i="13"/>
  <c r="AC52" i="13"/>
  <c r="AB30" i="13"/>
  <c r="Q16" i="11"/>
  <c r="AG8" i="13"/>
  <c r="D22" i="5"/>
  <c r="D23" i="5" s="1"/>
  <c r="C22" i="5"/>
  <c r="C23" i="5" s="1"/>
  <c r="D20" i="5"/>
  <c r="D21" i="5" s="1"/>
  <c r="C20" i="5"/>
  <c r="C21" i="5" s="1"/>
  <c r="D19" i="5"/>
  <c r="C14" i="5" s="1"/>
  <c r="C19" i="5"/>
  <c r="C13" i="5" s="1"/>
  <c r="Q17" i="4"/>
  <c r="Q15" i="4"/>
  <c r="R15" i="4"/>
  <c r="E15" i="4"/>
  <c r="E23" i="2"/>
  <c r="E24" i="2" s="1"/>
  <c r="C15" i="2" s="1"/>
  <c r="D23" i="2"/>
  <c r="D24" i="2" s="1"/>
  <c r="C14" i="2" s="1"/>
  <c r="C23" i="2"/>
  <c r="C24" i="2" s="1"/>
  <c r="C13" i="2" s="1"/>
  <c r="C21" i="2"/>
  <c r="C22" i="2" s="1"/>
  <c r="C20" i="2"/>
  <c r="C12" i="2"/>
  <c r="E21" i="2"/>
  <c r="E22" i="2" s="1"/>
  <c r="D21" i="2"/>
  <c r="D22" i="2" s="1"/>
  <c r="E20" i="2"/>
  <c r="D20" i="2"/>
  <c r="Y7" i="13"/>
  <c r="W7" i="13"/>
  <c r="AM7" i="13"/>
  <c r="Y8" i="13"/>
  <c r="W8" i="13" s="1"/>
  <c r="AM8" i="13" s="1"/>
  <c r="Y9" i="13"/>
  <c r="W9" i="13" s="1"/>
  <c r="AM9" i="13" s="1"/>
  <c r="X9" i="13"/>
  <c r="V9" i="13" s="1"/>
  <c r="AL9" i="13" s="1"/>
  <c r="C53" i="5"/>
  <c r="X7" i="13"/>
  <c r="V7" i="13" s="1"/>
  <c r="AL7" i="13" s="1"/>
  <c r="B51" i="5" s="1"/>
  <c r="V8" i="13"/>
  <c r="AL8" i="13" s="1"/>
  <c r="B52" i="5" s="1"/>
  <c r="L13" i="13" l="1"/>
  <c r="AB12" i="13" s="1"/>
  <c r="AC12" i="13"/>
  <c r="L25" i="13"/>
  <c r="AC24" i="13"/>
  <c r="L35" i="15"/>
  <c r="AB34" i="15" s="1"/>
  <c r="AB27" i="15"/>
  <c r="Q7" i="15"/>
  <c r="B53" i="5"/>
  <c r="L45" i="13"/>
  <c r="AC44" i="13"/>
  <c r="R16" i="4"/>
  <c r="O8" i="13"/>
  <c r="AE6" i="13"/>
  <c r="AE7" i="15"/>
  <c r="O9" i="15"/>
  <c r="N8" i="15"/>
  <c r="AD7" i="15" s="1"/>
  <c r="L23" i="13"/>
  <c r="AB22" i="13" s="1"/>
  <c r="S15" i="4"/>
  <c r="Q16" i="4"/>
  <c r="R16" i="11"/>
  <c r="AG9" i="13"/>
  <c r="L15" i="13"/>
  <c r="AB14" i="13" s="1"/>
  <c r="AC14" i="13"/>
  <c r="AC38" i="13"/>
  <c r="AC40" i="13"/>
  <c r="L45" i="15"/>
  <c r="Q10" i="15" s="1"/>
  <c r="AC44" i="15"/>
  <c r="AM8" i="15"/>
  <c r="B53" i="2" s="1"/>
  <c r="W8" i="15"/>
  <c r="L17" i="13"/>
  <c r="AB16" i="13" s="1"/>
  <c r="AC16" i="13"/>
  <c r="AC42" i="13"/>
  <c r="L43" i="13"/>
  <c r="AB42" i="13" s="1"/>
  <c r="AG10" i="13" s="1"/>
  <c r="AC30" i="15"/>
  <c r="L31" i="15"/>
  <c r="AB30" i="15" s="1"/>
  <c r="AC46" i="15"/>
  <c r="L47" i="15"/>
  <c r="AB46" i="15" s="1"/>
  <c r="AG9" i="15" s="1"/>
  <c r="AG12" i="13"/>
  <c r="AC26" i="13"/>
  <c r="L27" i="13"/>
  <c r="AB26" i="13" s="1"/>
  <c r="L41" i="15"/>
  <c r="AB40" i="15" s="1"/>
  <c r="AC40" i="15"/>
  <c r="L57" i="15"/>
  <c r="AB56" i="15" s="1"/>
  <c r="AC56" i="15"/>
  <c r="AB31" i="15"/>
  <c r="Q8" i="15"/>
  <c r="AC14" i="15"/>
  <c r="L37" i="15"/>
  <c r="AB36" i="15" s="1"/>
  <c r="AC36" i="15"/>
  <c r="B52" i="2"/>
  <c r="AC12" i="15"/>
  <c r="C64" i="2"/>
  <c r="C65" i="2" s="1"/>
  <c r="C66" i="2" s="1"/>
  <c r="C63" i="5"/>
  <c r="C64" i="5" s="1"/>
  <c r="C65" i="5" s="1"/>
  <c r="B10" i="13"/>
  <c r="D13" i="2"/>
  <c r="C38" i="2" s="1"/>
  <c r="B10" i="15"/>
  <c r="C62" i="2" s="1"/>
  <c r="H11" i="4"/>
  <c r="H9" i="4"/>
  <c r="H14" i="4"/>
  <c r="H10" i="4"/>
  <c r="K8" i="4"/>
  <c r="J8" i="4"/>
  <c r="D9" i="4"/>
  <c r="H8" i="4"/>
  <c r="H12" i="4"/>
  <c r="H13" i="4"/>
  <c r="D15" i="2"/>
  <c r="D5" i="4"/>
  <c r="D5" i="11"/>
  <c r="D14" i="2"/>
  <c r="D45" i="2"/>
  <c r="D44" i="5"/>
  <c r="G8" i="11"/>
  <c r="H14" i="11" s="1"/>
  <c r="D14" i="5"/>
  <c r="D9" i="11"/>
  <c r="D13" i="5"/>
  <c r="C61" i="5" l="1"/>
  <c r="AG6" i="15"/>
  <c r="AG7" i="15"/>
  <c r="Q11" i="15"/>
  <c r="N9" i="15"/>
  <c r="AD8" i="15" s="1"/>
  <c r="AE8" i="15"/>
  <c r="O10" i="15"/>
  <c r="AG10" i="15"/>
  <c r="AB44" i="15"/>
  <c r="AG11" i="15" s="1"/>
  <c r="Q12" i="15"/>
  <c r="Q9" i="15"/>
  <c r="Q13" i="15"/>
  <c r="AG8" i="15"/>
  <c r="AB24" i="13"/>
  <c r="Q8" i="13"/>
  <c r="Q7" i="13"/>
  <c r="O9" i="13"/>
  <c r="N8" i="13"/>
  <c r="AD7" i="13" s="1"/>
  <c r="AE7" i="13"/>
  <c r="Q13" i="13"/>
  <c r="Q9" i="13"/>
  <c r="AB44" i="13"/>
  <c r="AG11" i="13" s="1"/>
  <c r="Q11" i="13"/>
  <c r="Q10" i="13"/>
  <c r="Q12" i="13"/>
  <c r="AG12" i="15"/>
  <c r="H9" i="11"/>
  <c r="Z8" i="13"/>
  <c r="AP8" i="13" s="1"/>
  <c r="D52" i="5" s="1"/>
  <c r="Z7" i="13"/>
  <c r="AP7" i="13" s="1"/>
  <c r="D51" i="5" s="1"/>
  <c r="Z9" i="13"/>
  <c r="AP9" i="13" s="1"/>
  <c r="D53" i="5" s="1"/>
  <c r="E11" i="13"/>
  <c r="H11" i="13" s="1"/>
  <c r="J11" i="13" s="1"/>
  <c r="E15" i="13"/>
  <c r="H15" i="13" s="1"/>
  <c r="I15" i="13" s="1"/>
  <c r="E19" i="13"/>
  <c r="E23" i="13"/>
  <c r="H23" i="13" s="1"/>
  <c r="E27" i="13"/>
  <c r="H27" i="13" s="1"/>
  <c r="J27" i="13" s="1"/>
  <c r="E7" i="13"/>
  <c r="H7" i="13" s="1"/>
  <c r="E8" i="13"/>
  <c r="E12" i="13"/>
  <c r="H12" i="13" s="1"/>
  <c r="J12" i="13" s="1"/>
  <c r="E16" i="13"/>
  <c r="H16" i="13" s="1"/>
  <c r="T6" i="13" s="1"/>
  <c r="AJ5" i="13" s="1"/>
  <c r="E20" i="13"/>
  <c r="H20" i="13" s="1"/>
  <c r="J20" i="13" s="1"/>
  <c r="E24" i="13"/>
  <c r="H24" i="13" s="1"/>
  <c r="I24" i="13" s="1"/>
  <c r="E28" i="13"/>
  <c r="H28" i="13" s="1"/>
  <c r="I28" i="13" s="1"/>
  <c r="B8" i="13"/>
  <c r="E13" i="13"/>
  <c r="H13" i="13" s="1"/>
  <c r="I13" i="13" s="1"/>
  <c r="E25" i="13"/>
  <c r="H25" i="13" s="1"/>
  <c r="J25" i="13" s="1"/>
  <c r="E10" i="13"/>
  <c r="H10" i="13" s="1"/>
  <c r="E14" i="13"/>
  <c r="H14" i="13" s="1"/>
  <c r="E22" i="13"/>
  <c r="H22" i="13" s="1"/>
  <c r="J22" i="13" s="1"/>
  <c r="E30" i="13"/>
  <c r="E9" i="13"/>
  <c r="H9" i="13" s="1"/>
  <c r="J9" i="13" s="1"/>
  <c r="E17" i="13"/>
  <c r="H17" i="13" s="1"/>
  <c r="I17" i="13" s="1"/>
  <c r="E21" i="13"/>
  <c r="H21" i="13" s="1"/>
  <c r="J21" i="13" s="1"/>
  <c r="E29" i="13"/>
  <c r="H29" i="13" s="1"/>
  <c r="J29" i="13" s="1"/>
  <c r="E18" i="13"/>
  <c r="H18" i="13" s="1"/>
  <c r="J18" i="13" s="1"/>
  <c r="E26" i="13"/>
  <c r="H26" i="13" s="1"/>
  <c r="J26" i="13" s="1"/>
  <c r="E8" i="15"/>
  <c r="H8" i="15" s="1"/>
  <c r="J8" i="15" s="1"/>
  <c r="E12" i="15"/>
  <c r="H12" i="15" s="1"/>
  <c r="J12" i="15" s="1"/>
  <c r="E16" i="15"/>
  <c r="H16" i="15" s="1"/>
  <c r="J16" i="15" s="1"/>
  <c r="E20" i="15"/>
  <c r="H20" i="15" s="1"/>
  <c r="J20" i="15" s="1"/>
  <c r="E24" i="15"/>
  <c r="H24" i="15" s="1"/>
  <c r="J24" i="15" s="1"/>
  <c r="E28" i="15"/>
  <c r="H28" i="15" s="1"/>
  <c r="J28" i="15" s="1"/>
  <c r="E14" i="15"/>
  <c r="H14" i="15" s="1"/>
  <c r="J14" i="15" s="1"/>
  <c r="E22" i="15"/>
  <c r="H22" i="15" s="1"/>
  <c r="J22" i="15" s="1"/>
  <c r="E26" i="15"/>
  <c r="H26" i="15" s="1"/>
  <c r="J26" i="15" s="1"/>
  <c r="Z9" i="15"/>
  <c r="AP9" i="15" s="1"/>
  <c r="D54" i="2" s="1"/>
  <c r="E9" i="15"/>
  <c r="H9" i="15" s="1"/>
  <c r="J9" i="15" s="1"/>
  <c r="E13" i="15"/>
  <c r="H13" i="15" s="1"/>
  <c r="J13" i="15" s="1"/>
  <c r="E17" i="15"/>
  <c r="H17" i="15" s="1"/>
  <c r="J17" i="15" s="1"/>
  <c r="E21" i="15"/>
  <c r="H21" i="15" s="1"/>
  <c r="E25" i="15"/>
  <c r="H25" i="15" s="1"/>
  <c r="J25" i="15" s="1"/>
  <c r="E29" i="15"/>
  <c r="H29" i="15" s="1"/>
  <c r="J29" i="15" s="1"/>
  <c r="E10" i="15"/>
  <c r="H10" i="15" s="1"/>
  <c r="I10" i="15" s="1"/>
  <c r="E18" i="15"/>
  <c r="H18" i="15" s="1"/>
  <c r="J18" i="15" s="1"/>
  <c r="E30" i="15"/>
  <c r="H30" i="15" s="1"/>
  <c r="J30" i="15" s="1"/>
  <c r="Z7" i="15"/>
  <c r="AP7" i="15" s="1"/>
  <c r="D52" i="2" s="1"/>
  <c r="E11" i="15"/>
  <c r="H11" i="15" s="1"/>
  <c r="J11" i="15" s="1"/>
  <c r="E15" i="15"/>
  <c r="H15" i="15" s="1"/>
  <c r="I15" i="15" s="1"/>
  <c r="E19" i="15"/>
  <c r="H19" i="15" s="1"/>
  <c r="T8" i="15" s="1"/>
  <c r="AJ7" i="15" s="1"/>
  <c r="E23" i="15"/>
  <c r="H23" i="15" s="1"/>
  <c r="J23" i="15" s="1"/>
  <c r="E27" i="15"/>
  <c r="H27" i="15" s="1"/>
  <c r="J27" i="15" s="1"/>
  <c r="E7" i="15"/>
  <c r="H7" i="15" s="1"/>
  <c r="Z8" i="15"/>
  <c r="AP8" i="15" s="1"/>
  <c r="D53" i="2" s="1"/>
  <c r="C37" i="2"/>
  <c r="C39" i="2"/>
  <c r="C40" i="2"/>
  <c r="C41" i="2" s="1"/>
  <c r="H13" i="11"/>
  <c r="D38" i="5"/>
  <c r="B6" i="13"/>
  <c r="H8" i="13"/>
  <c r="J8" i="13" s="1"/>
  <c r="H30" i="13"/>
  <c r="J30" i="13" s="1"/>
  <c r="H10" i="11"/>
  <c r="H12" i="11"/>
  <c r="L8" i="4"/>
  <c r="M8" i="4"/>
  <c r="H15" i="4"/>
  <c r="J9" i="4"/>
  <c r="L9" i="4" s="1"/>
  <c r="D10" i="4"/>
  <c r="E45" i="2"/>
  <c r="F45" i="2" s="1"/>
  <c r="G9" i="4"/>
  <c r="C78" i="2"/>
  <c r="B43" i="2"/>
  <c r="D37" i="2"/>
  <c r="D38" i="2"/>
  <c r="D39" i="2"/>
  <c r="D40" i="2"/>
  <c r="D41" i="2" s="1"/>
  <c r="E39" i="2"/>
  <c r="E38" i="2"/>
  <c r="E37" i="2"/>
  <c r="E40" i="2"/>
  <c r="E41" i="2" s="1"/>
  <c r="B6" i="15"/>
  <c r="L8" i="11"/>
  <c r="B42" i="5"/>
  <c r="H11" i="11"/>
  <c r="K8" i="11"/>
  <c r="M8" i="11" s="1"/>
  <c r="H8" i="11"/>
  <c r="C77" i="5"/>
  <c r="D36" i="5"/>
  <c r="D37" i="5"/>
  <c r="D39" i="5"/>
  <c r="D40" i="5" s="1"/>
  <c r="H19" i="13"/>
  <c r="T8" i="13" s="1"/>
  <c r="AJ7" i="13" s="1"/>
  <c r="E44" i="5"/>
  <c r="F44" i="5" s="1"/>
  <c r="D10" i="11"/>
  <c r="J9" i="11"/>
  <c r="L9" i="11" s="1"/>
  <c r="C37" i="5"/>
  <c r="C39" i="5"/>
  <c r="C40" i="5" s="1"/>
  <c r="C38" i="5"/>
  <c r="C36" i="5"/>
  <c r="N10" i="15" l="1"/>
  <c r="AD9" i="15" s="1"/>
  <c r="O11" i="15"/>
  <c r="AE9" i="15"/>
  <c r="AG7" i="13"/>
  <c r="AG6" i="13"/>
  <c r="AE8" i="13"/>
  <c r="O10" i="13"/>
  <c r="N9" i="13"/>
  <c r="AD8" i="13" s="1"/>
  <c r="I29" i="13"/>
  <c r="T13" i="13"/>
  <c r="AJ12" i="13" s="1"/>
  <c r="I14" i="13"/>
  <c r="J14" i="13"/>
  <c r="J15" i="13"/>
  <c r="B4" i="13"/>
  <c r="J16" i="13"/>
  <c r="J15" i="15"/>
  <c r="I10" i="13"/>
  <c r="J10" i="13"/>
  <c r="I7" i="13"/>
  <c r="J7" i="13"/>
  <c r="T10" i="13"/>
  <c r="AJ9" i="13" s="1"/>
  <c r="J23" i="13"/>
  <c r="J17" i="13"/>
  <c r="T9" i="13"/>
  <c r="AJ8" i="13" s="1"/>
  <c r="J13" i="13"/>
  <c r="J28" i="13"/>
  <c r="I21" i="13"/>
  <c r="J24" i="13"/>
  <c r="J19" i="13"/>
  <c r="I7" i="15"/>
  <c r="J7" i="15"/>
  <c r="I21" i="15"/>
  <c r="J21" i="15"/>
  <c r="J10" i="15"/>
  <c r="B8" i="15"/>
  <c r="B4" i="15" s="1"/>
  <c r="J19" i="15"/>
  <c r="I23" i="13"/>
  <c r="I30" i="13"/>
  <c r="T9" i="15"/>
  <c r="AJ8" i="15" s="1"/>
  <c r="I19" i="15"/>
  <c r="I8" i="15"/>
  <c r="T7" i="13"/>
  <c r="AJ6" i="13" s="1"/>
  <c r="I20" i="13"/>
  <c r="I8" i="13"/>
  <c r="H15" i="11"/>
  <c r="I16" i="13"/>
  <c r="T6" i="15"/>
  <c r="AJ5" i="15" s="1"/>
  <c r="I23" i="15"/>
  <c r="T10" i="15"/>
  <c r="AJ9" i="15" s="1"/>
  <c r="I9" i="15"/>
  <c r="G10" i="4"/>
  <c r="K9" i="4"/>
  <c r="M9" i="4" s="1"/>
  <c r="D11" i="4"/>
  <c r="J10" i="4"/>
  <c r="L10" i="4" s="1"/>
  <c r="I18" i="15"/>
  <c r="I26" i="15"/>
  <c r="I12" i="15"/>
  <c r="I25" i="15"/>
  <c r="T11" i="15"/>
  <c r="AJ10" i="15" s="1"/>
  <c r="T7" i="15"/>
  <c r="AJ6" i="15" s="1"/>
  <c r="I17" i="15"/>
  <c r="I27" i="15"/>
  <c r="T12" i="15"/>
  <c r="AJ11" i="15" s="1"/>
  <c r="I20" i="15"/>
  <c r="I30" i="15"/>
  <c r="I24" i="15"/>
  <c r="I13" i="15"/>
  <c r="I22" i="15"/>
  <c r="I11" i="15"/>
  <c r="I28" i="15"/>
  <c r="I29" i="15"/>
  <c r="T13" i="15"/>
  <c r="AJ12" i="15" s="1"/>
  <c r="I14" i="15"/>
  <c r="I16" i="15"/>
  <c r="C88" i="2"/>
  <c r="C80" i="2"/>
  <c r="C90" i="2"/>
  <c r="C91" i="2"/>
  <c r="C89" i="2"/>
  <c r="G9" i="11"/>
  <c r="I9" i="13"/>
  <c r="I25" i="13"/>
  <c r="T11" i="13"/>
  <c r="AJ10" i="13" s="1"/>
  <c r="I19" i="13"/>
  <c r="I22" i="13"/>
  <c r="I26" i="13"/>
  <c r="I11" i="13"/>
  <c r="I18" i="13"/>
  <c r="T12" i="13"/>
  <c r="AJ11" i="13" s="1"/>
  <c r="I27" i="13"/>
  <c r="I12" i="13"/>
  <c r="C90" i="5"/>
  <c r="C79" i="5"/>
  <c r="C87" i="5"/>
  <c r="C88" i="5"/>
  <c r="C89" i="5"/>
  <c r="D11" i="11"/>
  <c r="J10" i="11"/>
  <c r="L10" i="11" s="1"/>
  <c r="AE10" i="15" l="1"/>
  <c r="O12" i="15"/>
  <c r="N11" i="15"/>
  <c r="AD10" i="15" s="1"/>
  <c r="O11" i="13"/>
  <c r="AE9" i="13"/>
  <c r="N10" i="13"/>
  <c r="AD9" i="13" s="1"/>
  <c r="G11" i="4"/>
  <c r="K10" i="4"/>
  <c r="M10" i="4" s="1"/>
  <c r="J11" i="4"/>
  <c r="L11" i="4" s="1"/>
  <c r="D12" i="4"/>
  <c r="E15" i="2"/>
  <c r="E14" i="2"/>
  <c r="E13" i="2"/>
  <c r="K9" i="11"/>
  <c r="M9" i="11" s="1"/>
  <c r="G10" i="11"/>
  <c r="E14" i="5"/>
  <c r="E13" i="5"/>
  <c r="D12" i="11"/>
  <c r="J11" i="11"/>
  <c r="L11" i="11" s="1"/>
  <c r="O12" i="13" l="1"/>
  <c r="N11" i="13"/>
  <c r="AD10" i="13" s="1"/>
  <c r="AE10" i="13"/>
  <c r="O13" i="15"/>
  <c r="AE11" i="15"/>
  <c r="N12" i="15"/>
  <c r="AD11" i="15" s="1"/>
  <c r="D13" i="4"/>
  <c r="J12" i="4"/>
  <c r="L12" i="4" s="1"/>
  <c r="K11" i="4"/>
  <c r="M11" i="4" s="1"/>
  <c r="G12" i="4"/>
  <c r="G11" i="11"/>
  <c r="K10" i="11"/>
  <c r="M10" i="11" s="1"/>
  <c r="J12" i="11"/>
  <c r="L12" i="11" s="1"/>
  <c r="D13" i="11"/>
  <c r="N13" i="15" l="1"/>
  <c r="AD12" i="15" s="1"/>
  <c r="O14" i="15"/>
  <c r="AE12" i="15"/>
  <c r="N12" i="13"/>
  <c r="AD11" i="13" s="1"/>
  <c r="AE11" i="13"/>
  <c r="O13" i="13"/>
  <c r="D14" i="4"/>
  <c r="C47" i="2" s="1"/>
  <c r="D47" i="2" s="1"/>
  <c r="E47" i="2" s="1"/>
  <c r="F47" i="2" s="1"/>
  <c r="J13" i="4"/>
  <c r="L13" i="4" s="1"/>
  <c r="G13" i="4"/>
  <c r="K12" i="4"/>
  <c r="M12" i="4" s="1"/>
  <c r="K11" i="11"/>
  <c r="M11" i="11" s="1"/>
  <c r="G12" i="11"/>
  <c r="J13" i="11"/>
  <c r="L13" i="11" s="1"/>
  <c r="D14" i="11"/>
  <c r="O14" i="13" l="1"/>
  <c r="N13" i="13"/>
  <c r="AD12" i="13" s="1"/>
  <c r="AE12" i="13"/>
  <c r="N14" i="15"/>
  <c r="AD13" i="15" s="1"/>
  <c r="AE13" i="15"/>
  <c r="O15" i="15"/>
  <c r="G14" i="4"/>
  <c r="K13" i="4"/>
  <c r="M13" i="4" s="1"/>
  <c r="J14" i="4"/>
  <c r="L14" i="4" s="1"/>
  <c r="L15" i="4" s="1"/>
  <c r="C46" i="2"/>
  <c r="D46" i="2" s="1"/>
  <c r="E46" i="2" s="1"/>
  <c r="F46" i="2" s="1"/>
  <c r="D15" i="4"/>
  <c r="G13" i="11"/>
  <c r="K12" i="11"/>
  <c r="M12" i="11" s="1"/>
  <c r="C46" i="5"/>
  <c r="D46" i="5" s="1"/>
  <c r="E46" i="5" s="1"/>
  <c r="F46" i="5" s="1"/>
  <c r="D15" i="11"/>
  <c r="J14" i="11"/>
  <c r="L14" i="11" s="1"/>
  <c r="L15" i="11" s="1"/>
  <c r="C45" i="5"/>
  <c r="D45" i="5" s="1"/>
  <c r="E45" i="5" s="1"/>
  <c r="F45" i="5" s="1"/>
  <c r="N15" i="15" l="1"/>
  <c r="AD14" i="15" s="1"/>
  <c r="AE14" i="15"/>
  <c r="O16" i="15"/>
  <c r="AE13" i="13"/>
  <c r="O15" i="13"/>
  <c r="N14" i="13"/>
  <c r="AD13" i="13" s="1"/>
  <c r="F11" i="4"/>
  <c r="F13" i="4"/>
  <c r="F14" i="4"/>
  <c r="F8" i="4"/>
  <c r="F10" i="4"/>
  <c r="F12" i="4"/>
  <c r="F9" i="4"/>
  <c r="K14" i="4"/>
  <c r="M14" i="4" s="1"/>
  <c r="M15" i="4" s="1"/>
  <c r="G15" i="4"/>
  <c r="G14" i="11"/>
  <c r="K13" i="11"/>
  <c r="M13" i="11" s="1"/>
  <c r="F10" i="11"/>
  <c r="F9" i="11"/>
  <c r="F14" i="11"/>
  <c r="F12" i="11"/>
  <c r="F8" i="11"/>
  <c r="F13" i="11"/>
  <c r="F11" i="11"/>
  <c r="AE15" i="15" l="1"/>
  <c r="N16" i="15"/>
  <c r="AD15" i="15" s="1"/>
  <c r="O17" i="15"/>
  <c r="O16" i="13"/>
  <c r="N15" i="13"/>
  <c r="AD14" i="13" s="1"/>
  <c r="AE14" i="13"/>
  <c r="I13" i="4"/>
  <c r="I10" i="4"/>
  <c r="I14" i="4"/>
  <c r="I8" i="4"/>
  <c r="I9" i="4"/>
  <c r="I11" i="4"/>
  <c r="I12" i="4"/>
  <c r="K14" i="11"/>
  <c r="M14" i="11" s="1"/>
  <c r="M15" i="11" s="1"/>
  <c r="G15" i="11"/>
  <c r="N16" i="13" l="1"/>
  <c r="AD15" i="13" s="1"/>
  <c r="O17" i="13"/>
  <c r="AE15" i="13"/>
  <c r="N17" i="15"/>
  <c r="AD16" i="15" s="1"/>
  <c r="O18" i="15"/>
  <c r="AE16" i="15"/>
  <c r="I8" i="11"/>
  <c r="I14" i="11"/>
  <c r="I9" i="11"/>
  <c r="I13" i="11"/>
  <c r="I12" i="11"/>
  <c r="I10" i="11"/>
  <c r="I11" i="11"/>
  <c r="AE16" i="13" l="1"/>
  <c r="N17" i="13"/>
  <c r="AD16" i="13" s="1"/>
  <c r="O18" i="13"/>
  <c r="N18" i="15"/>
  <c r="AD17" i="15" s="1"/>
  <c r="O19" i="15"/>
  <c r="AE17" i="15"/>
  <c r="O19" i="13" l="1"/>
  <c r="N18" i="13"/>
  <c r="AD17" i="13" s="1"/>
  <c r="AE17" i="13"/>
  <c r="O20" i="15"/>
  <c r="N19" i="15"/>
  <c r="AD18" i="15" s="1"/>
  <c r="AE18" i="15"/>
  <c r="AE19" i="15" l="1"/>
  <c r="N20" i="15"/>
  <c r="AD19" i="15" s="1"/>
  <c r="O21" i="15"/>
  <c r="AE18" i="13"/>
  <c r="N19" i="13"/>
  <c r="AD18" i="13" s="1"/>
  <c r="O20" i="13"/>
  <c r="N21" i="15" l="1"/>
  <c r="AD20" i="15" s="1"/>
  <c r="O22" i="15"/>
  <c r="AE20" i="15"/>
  <c r="N20" i="13"/>
  <c r="AD19" i="13" s="1"/>
  <c r="AE19" i="13"/>
  <c r="O21" i="13"/>
  <c r="N21" i="13" l="1"/>
  <c r="AD20" i="13" s="1"/>
  <c r="O22" i="13"/>
  <c r="AE20" i="13"/>
  <c r="N22" i="15"/>
  <c r="AD21" i="15" s="1"/>
  <c r="O23" i="15"/>
  <c r="AE21" i="15"/>
  <c r="N22" i="13" l="1"/>
  <c r="AD21" i="13" s="1"/>
  <c r="AE21" i="13"/>
  <c r="O23" i="13"/>
  <c r="N23" i="15"/>
  <c r="AD22" i="15" s="1"/>
  <c r="AE22" i="15"/>
  <c r="O24" i="15"/>
  <c r="AE22" i="13" l="1"/>
  <c r="O24" i="13"/>
  <c r="N23" i="13"/>
  <c r="AD22" i="13" s="1"/>
  <c r="N24" i="15"/>
  <c r="AD23" i="15" s="1"/>
  <c r="AE23" i="15"/>
  <c r="O25" i="15"/>
  <c r="N25" i="15" l="1"/>
  <c r="AD24" i="15" s="1"/>
  <c r="AE24" i="15"/>
  <c r="O26" i="15"/>
  <c r="O25" i="13"/>
  <c r="N24" i="13"/>
  <c r="AD23" i="13" s="1"/>
  <c r="AE23" i="13"/>
  <c r="N25" i="13" l="1"/>
  <c r="AD24" i="13" s="1"/>
  <c r="O26" i="13"/>
  <c r="AE24" i="13"/>
  <c r="N26" i="15"/>
  <c r="AD25" i="15" s="1"/>
  <c r="O27" i="15"/>
  <c r="AE25" i="15"/>
  <c r="N26" i="13" l="1"/>
  <c r="AD25" i="13" s="1"/>
  <c r="O27" i="13"/>
  <c r="AE25" i="13"/>
  <c r="O28" i="15"/>
  <c r="N27" i="15"/>
  <c r="AD26" i="15" s="1"/>
  <c r="AE26" i="15"/>
  <c r="O29" i="15" l="1"/>
  <c r="N28" i="15"/>
  <c r="AD27" i="15" s="1"/>
  <c r="AE27" i="15"/>
  <c r="AE26" i="13"/>
  <c r="O28" i="13"/>
  <c r="N27" i="13"/>
  <c r="AD26" i="13" s="1"/>
  <c r="N28" i="13" l="1"/>
  <c r="AD27" i="13" s="1"/>
  <c r="O29" i="13"/>
  <c r="AE27" i="13"/>
  <c r="N29" i="15"/>
  <c r="AD28" i="15" s="1"/>
  <c r="O30" i="15"/>
  <c r="AE28" i="15"/>
  <c r="O30" i="13" l="1"/>
  <c r="N29" i="13"/>
  <c r="AD28" i="13" s="1"/>
  <c r="AE28" i="13"/>
  <c r="N30" i="15"/>
  <c r="AD29" i="15" s="1"/>
  <c r="O31" i="15"/>
  <c r="AE29" i="15"/>
  <c r="N31" i="15" l="1"/>
  <c r="AD30" i="15" s="1"/>
  <c r="AE30" i="15"/>
  <c r="O32" i="15"/>
  <c r="AE29" i="13"/>
  <c r="N30" i="13"/>
  <c r="AD29" i="13" s="1"/>
  <c r="O31" i="13"/>
  <c r="AE31" i="15" l="1"/>
  <c r="N32" i="15"/>
  <c r="O33" i="15"/>
  <c r="AE30" i="13"/>
  <c r="O32" i="13"/>
  <c r="N31" i="13"/>
  <c r="AD30" i="13" s="1"/>
  <c r="N33" i="15" l="1"/>
  <c r="AD32" i="15" s="1"/>
  <c r="AE32" i="15"/>
  <c r="O34" i="15"/>
  <c r="AD31" i="15"/>
  <c r="N32" i="13"/>
  <c r="O33" i="13"/>
  <c r="AE31" i="13"/>
  <c r="AD31" i="13" l="1"/>
  <c r="R7" i="13"/>
  <c r="R8" i="13"/>
  <c r="N34" i="15"/>
  <c r="AD33" i="15" s="1"/>
  <c r="O35" i="15"/>
  <c r="AE33" i="15"/>
  <c r="N33" i="13"/>
  <c r="AD32" i="13" s="1"/>
  <c r="AE32" i="13"/>
  <c r="O34" i="13"/>
  <c r="O36" i="15" l="1"/>
  <c r="N35" i="15"/>
  <c r="AD34" i="15" s="1"/>
  <c r="AE34" i="15"/>
  <c r="AH6" i="13"/>
  <c r="AH7" i="13"/>
  <c r="AE33" i="13"/>
  <c r="O35" i="13"/>
  <c r="N34" i="13"/>
  <c r="AD33" i="13" s="1"/>
  <c r="N35" i="13" l="1"/>
  <c r="AD34" i="13" s="1"/>
  <c r="AE34" i="13"/>
  <c r="O36" i="13"/>
  <c r="N36" i="15"/>
  <c r="AD35" i="15" s="1"/>
  <c r="AE35" i="15"/>
  <c r="O37" i="15"/>
  <c r="N36" i="13" l="1"/>
  <c r="AD35" i="13" s="1"/>
  <c r="O37" i="13"/>
  <c r="AE35" i="13"/>
  <c r="N37" i="15"/>
  <c r="AD36" i="15" s="1"/>
  <c r="AE36" i="15"/>
  <c r="O38" i="15"/>
  <c r="N38" i="15" l="1"/>
  <c r="AD37" i="15" s="1"/>
  <c r="AE37" i="15"/>
  <c r="O39" i="15"/>
  <c r="O38" i="13"/>
  <c r="N37" i="13"/>
  <c r="AD36" i="13" s="1"/>
  <c r="AE36" i="13"/>
  <c r="O39" i="13" l="1"/>
  <c r="N38" i="13"/>
  <c r="AD37" i="13" s="1"/>
  <c r="AE37" i="13"/>
  <c r="N39" i="15"/>
  <c r="AD38" i="15" s="1"/>
  <c r="O40" i="15"/>
  <c r="AE38" i="15"/>
  <c r="N40" i="15" l="1"/>
  <c r="AD39" i="15" s="1"/>
  <c r="O41" i="15"/>
  <c r="AE39" i="15"/>
  <c r="N39" i="13"/>
  <c r="AD38" i="13" s="1"/>
  <c r="O40" i="13"/>
  <c r="AE38" i="13"/>
  <c r="N41" i="15" l="1"/>
  <c r="AD40" i="15" s="1"/>
  <c r="O42" i="15"/>
  <c r="AE40" i="15"/>
  <c r="N40" i="13"/>
  <c r="AD39" i="13" s="1"/>
  <c r="AE39" i="13"/>
  <c r="O41" i="13"/>
  <c r="N41" i="13" l="1"/>
  <c r="AD40" i="13" s="1"/>
  <c r="AE40" i="13"/>
  <c r="O42" i="13"/>
  <c r="N42" i="15"/>
  <c r="AD41" i="15" s="1"/>
  <c r="AE41" i="15"/>
  <c r="O43" i="15"/>
  <c r="O43" i="13" l="1"/>
  <c r="AE41" i="13"/>
  <c r="N42" i="13"/>
  <c r="AD41" i="13" s="1"/>
  <c r="AE42" i="15"/>
  <c r="N43" i="15"/>
  <c r="AD42" i="15" s="1"/>
  <c r="O44" i="15"/>
  <c r="O45" i="15" l="1"/>
  <c r="N44" i="15"/>
  <c r="AD43" i="15" s="1"/>
  <c r="AE43" i="15"/>
  <c r="N43" i="13"/>
  <c r="AD42" i="13" s="1"/>
  <c r="AE42" i="13"/>
  <c r="O44" i="13"/>
  <c r="N44" i="13" l="1"/>
  <c r="AD43" i="13" s="1"/>
  <c r="O45" i="13"/>
  <c r="AE43" i="13"/>
  <c r="N45" i="15"/>
  <c r="AE44" i="15"/>
  <c r="O46" i="15"/>
  <c r="AD44" i="15" l="1"/>
  <c r="R7" i="15"/>
  <c r="R8" i="15"/>
  <c r="R9" i="15"/>
  <c r="N46" i="15"/>
  <c r="AD45" i="15" s="1"/>
  <c r="AE45" i="15"/>
  <c r="O47" i="15"/>
  <c r="AE44" i="13"/>
  <c r="N45" i="13"/>
  <c r="O46" i="13"/>
  <c r="N47" i="15" l="1"/>
  <c r="AD46" i="15" s="1"/>
  <c r="O48" i="15"/>
  <c r="AE46" i="15"/>
  <c r="AD44" i="13"/>
  <c r="R9" i="13"/>
  <c r="R11" i="13"/>
  <c r="R10" i="13"/>
  <c r="AE45" i="13"/>
  <c r="O47" i="13"/>
  <c r="N46" i="13"/>
  <c r="AD45" i="13" s="1"/>
  <c r="AH7" i="15"/>
  <c r="AH6" i="15"/>
  <c r="AH8" i="15"/>
  <c r="AH8" i="13" l="1"/>
  <c r="AH9" i="13"/>
  <c r="AH10" i="13"/>
  <c r="O48" i="13"/>
  <c r="N47" i="13"/>
  <c r="AD46" i="13" s="1"/>
  <c r="AE46" i="13"/>
  <c r="N48" i="15"/>
  <c r="AD47" i="15" s="1"/>
  <c r="AE47" i="15"/>
  <c r="O49" i="15"/>
  <c r="N49" i="15" l="1"/>
  <c r="AD48" i="15" s="1"/>
  <c r="AE48" i="15"/>
  <c r="O50" i="15"/>
  <c r="O49" i="13"/>
  <c r="N48" i="13"/>
  <c r="AD47" i="13" s="1"/>
  <c r="AE47" i="13"/>
  <c r="N49" i="13" l="1"/>
  <c r="AD48" i="13" s="1"/>
  <c r="AE48" i="13"/>
  <c r="O50" i="13"/>
  <c r="N50" i="15"/>
  <c r="AD49" i="15" s="1"/>
  <c r="AE49" i="15"/>
  <c r="O51" i="15"/>
  <c r="N50" i="13" l="1"/>
  <c r="AD49" i="13" s="1"/>
  <c r="O51" i="13"/>
  <c r="AE49" i="13"/>
  <c r="O52" i="15"/>
  <c r="N51" i="15"/>
  <c r="AD50" i="15" s="1"/>
  <c r="AE50" i="15"/>
  <c r="N52" i="15" l="1"/>
  <c r="AE51" i="15"/>
  <c r="O53" i="15"/>
  <c r="AE50" i="13"/>
  <c r="N51" i="13"/>
  <c r="AD50" i="13" s="1"/>
  <c r="O52" i="13"/>
  <c r="O53" i="13" l="1"/>
  <c r="N52" i="13"/>
  <c r="AE51" i="13"/>
  <c r="N53" i="15"/>
  <c r="AD52" i="15" s="1"/>
  <c r="AE52" i="15"/>
  <c r="O54" i="15"/>
  <c r="AD51" i="15"/>
  <c r="R10" i="15"/>
  <c r="R11" i="15"/>
  <c r="AH10" i="15" l="1"/>
  <c r="AH9" i="15"/>
  <c r="N54" i="15"/>
  <c r="AD53" i="15" s="1"/>
  <c r="O55" i="15"/>
  <c r="AE53" i="15"/>
  <c r="AD51" i="13"/>
  <c r="R13" i="13"/>
  <c r="R12" i="13"/>
  <c r="O54" i="13"/>
  <c r="N53" i="13"/>
  <c r="AD52" i="13" s="1"/>
  <c r="AE52" i="13"/>
  <c r="AH11" i="13" l="1"/>
  <c r="AH12" i="13"/>
  <c r="N54" i="13"/>
  <c r="AD53" i="13" s="1"/>
  <c r="AE53" i="13"/>
  <c r="O55" i="13"/>
  <c r="N55" i="15"/>
  <c r="AE54" i="15"/>
  <c r="O56" i="15"/>
  <c r="N56" i="15" l="1"/>
  <c r="AD55" i="15" s="1"/>
  <c r="O57" i="15"/>
  <c r="AE55" i="15"/>
  <c r="AD54" i="15"/>
  <c r="R12" i="15"/>
  <c r="N55" i="13"/>
  <c r="AD54" i="13" s="1"/>
  <c r="AE54" i="13"/>
  <c r="O56" i="13"/>
  <c r="N57" i="15" l="1"/>
  <c r="AE56" i="15"/>
  <c r="O58" i="15"/>
  <c r="AH11" i="15"/>
  <c r="O57" i="13"/>
  <c r="N56" i="13"/>
  <c r="AD55" i="13" s="1"/>
  <c r="AE55" i="13"/>
  <c r="N58" i="15" l="1"/>
  <c r="AD57" i="15" s="1"/>
  <c r="AE57" i="15"/>
  <c r="N57" i="13"/>
  <c r="AD56" i="13" s="1"/>
  <c r="O58" i="13"/>
  <c r="AE56" i="13"/>
  <c r="AD56" i="15"/>
  <c r="AH12" i="15" s="1"/>
  <c r="R13" i="15"/>
  <c r="N58" i="13" l="1"/>
  <c r="AD57" i="13" s="1"/>
  <c r="AE57" i="13"/>
</calcChain>
</file>

<file path=xl/sharedStrings.xml><?xml version="1.0" encoding="utf-8"?>
<sst xmlns="http://schemas.openxmlformats.org/spreadsheetml/2006/main" count="276" uniqueCount="137">
  <si>
    <t>Daily intake to 100% Maintenance</t>
  </si>
  <si>
    <t>SID Lysine, %</t>
  </si>
  <si>
    <t>Daily SID Lysine intake, g/d</t>
  </si>
  <si>
    <t>1 to 30 days</t>
  </si>
  <si>
    <t>91 to 112 days</t>
  </si>
  <si>
    <t>NORMAL</t>
  </si>
  <si>
    <t>FAT</t>
  </si>
  <si>
    <t>31 to 60 days</t>
  </si>
  <si>
    <t>61 to 90 days</t>
  </si>
  <si>
    <t>Weight @ breeding, kg</t>
  </si>
  <si>
    <t>Net Energy, using low fiber (&lt;12% NDF), the NE/ME ratio is 76.0%</t>
  </si>
  <si>
    <t>Net Energy, using low fiber (&gt;12% NDF), the NE/ME ratio is 74.5%</t>
  </si>
  <si>
    <t xml:space="preserve">NRC (2012) Equation for Requirement of Maintenence for Gestation Sows </t>
  </si>
  <si>
    <r>
      <t xml:space="preserve">(Kcal ME/day) = 100 Kcal of ME x Body Weight </t>
    </r>
    <r>
      <rPr>
        <vertAlign val="superscript"/>
        <sz val="12"/>
        <rFont val="Verdana"/>
        <family val="2"/>
      </rPr>
      <t>0,75</t>
    </r>
  </si>
  <si>
    <r>
      <t xml:space="preserve">ME </t>
    </r>
    <r>
      <rPr>
        <vertAlign val="subscript"/>
        <sz val="8"/>
        <rFont val="Arial"/>
        <family val="2"/>
      </rPr>
      <t>(Gestation Diet)</t>
    </r>
    <r>
      <rPr>
        <sz val="8"/>
        <rFont val="Arial"/>
        <family val="2"/>
      </rPr>
      <t xml:space="preserve"> Kcal/kg</t>
    </r>
  </si>
  <si>
    <t>Energy intake</t>
  </si>
  <si>
    <t xml:space="preserve">Req. to achieve maint. </t>
  </si>
  <si>
    <t>Parity</t>
  </si>
  <si>
    <t>Herd distribution</t>
  </si>
  <si>
    <t>Body weight (kg) - Normal</t>
  </si>
  <si>
    <t>Gain Normal herd</t>
  </si>
  <si>
    <t>Body weight (kg) - Fat herd</t>
  </si>
  <si>
    <t>Gain Fat herd</t>
  </si>
  <si>
    <t>Normal</t>
  </si>
  <si>
    <t>Fat</t>
  </si>
  <si>
    <t>P0</t>
  </si>
  <si>
    <t>P1</t>
  </si>
  <si>
    <t>P2</t>
  </si>
  <si>
    <t>P3</t>
  </si>
  <si>
    <t>P4</t>
  </si>
  <si>
    <t>P5</t>
  </si>
  <si>
    <t>P6+</t>
  </si>
  <si>
    <t>Average (kg)</t>
  </si>
  <si>
    <t>112 to farrowing</t>
  </si>
  <si>
    <t>lb/day</t>
  </si>
  <si>
    <t>Weight @ breeding, lb</t>
  </si>
  <si>
    <t>SID M+C/Lysine ratio, %</t>
  </si>
  <si>
    <t>SID THR/Lysine ratio, %</t>
  </si>
  <si>
    <t>SID TRP/Lysine ratio, %</t>
  </si>
  <si>
    <t>SID VAL/Lysine ratio, %</t>
  </si>
  <si>
    <t>SID LEU/Lysine ratio, %</t>
  </si>
  <si>
    <t>SID ILE/Lysine ratio, %</t>
  </si>
  <si>
    <t>Calcium, %</t>
  </si>
  <si>
    <t>Av Phosphorus, %</t>
  </si>
  <si>
    <t>Dig Phosphorus, %*</t>
  </si>
  <si>
    <t>Sodium, %</t>
  </si>
  <si>
    <t>SID HIS/Lysine ratio, %</t>
  </si>
  <si>
    <t>100% of maint</t>
  </si>
  <si>
    <t>ME, Mcal/d</t>
  </si>
  <si>
    <t>lb</t>
  </si>
  <si>
    <t>kg</t>
  </si>
  <si>
    <t>x maint</t>
  </si>
  <si>
    <t>Minimal feeding level @ breeding up to 30 days</t>
  </si>
  <si>
    <t>300 to 400 lb</t>
  </si>
  <si>
    <t>135 to 180kg</t>
  </si>
  <si>
    <t>cm</t>
  </si>
  <si>
    <t>kg/day</t>
  </si>
  <si>
    <t>Maint</t>
  </si>
  <si>
    <t>Minimal feeding level during first 30 days after breeding</t>
  </si>
  <si>
    <t>Predicting weight using flank to flank measurement</t>
  </si>
  <si>
    <t>34 to 38</t>
  </si>
  <si>
    <t>Sire F2F, cm</t>
  </si>
  <si>
    <t>Maternal F2F, cm</t>
  </si>
  <si>
    <t>Sires, kg</t>
  </si>
  <si>
    <t>Maternal, kg</t>
  </si>
  <si>
    <t>Sires, lb</t>
  </si>
  <si>
    <t>Maternal, lb</t>
  </si>
  <si>
    <t>Maternal, in</t>
  </si>
  <si>
    <t>Sires, In</t>
  </si>
  <si>
    <t>Maint, kg/d</t>
  </si>
  <si>
    <t>Feed intake</t>
  </si>
  <si>
    <t>85 to 99</t>
  </si>
  <si>
    <t>86 to 97</t>
  </si>
  <si>
    <t>Maternal F2F, in</t>
  </si>
  <si>
    <t>Sire F2F, in</t>
  </si>
  <si>
    <t>35 to 39</t>
  </si>
  <si>
    <t xml:space="preserve"> </t>
  </si>
  <si>
    <t>Sows (P1+)</t>
  </si>
  <si>
    <t>Gilts (P0)</t>
  </si>
  <si>
    <t>Herd</t>
  </si>
  <si>
    <t>Group</t>
  </si>
  <si>
    <t>Base Allocation as % of Maintenance</t>
  </si>
  <si>
    <t>THIN/RECOVERY</t>
  </si>
  <si>
    <t>Days</t>
  </si>
  <si>
    <t>Fill in the yellow cells</t>
  </si>
  <si>
    <t>ME, Mcal/day</t>
  </si>
  <si>
    <t>ME, MJ/day</t>
  </si>
  <si>
    <t>NE, Mcal/day</t>
  </si>
  <si>
    <t>NE, MJ/day</t>
  </si>
  <si>
    <t>Body Condition Score</t>
  </si>
  <si>
    <t>THIN / RECOVERY CONDITION</t>
  </si>
  <si>
    <t>* Feed intake during early gestation (i.e. 1st 30 days) should not be below the requirements for maintenance. Refer to Table 3 for details</t>
  </si>
  <si>
    <t>Feed Intake, kg/d</t>
  </si>
  <si>
    <t>Weight @ breeding</t>
  </si>
  <si>
    <t>Weight</t>
  </si>
  <si>
    <t>Flank Measurement, cm</t>
  </si>
  <si>
    <t>* At the end of early gestation, feed allocation can be patterned to Table 1 criteria</t>
  </si>
  <si>
    <t>BW, kg</t>
  </si>
  <si>
    <t>Dietary ME Equivalent, Kcal/kg</t>
  </si>
  <si>
    <t>Table 1. Recommended base feed allocation for Camborough and PIC maternal lines during gestation</t>
  </si>
  <si>
    <t>Dietary ME, Mcal/lb</t>
  </si>
  <si>
    <t>Dietary ME, MJ/lb</t>
  </si>
  <si>
    <t>Dietary NE, Mcal/lb using low fiber (&lt;12% NDF)</t>
  </si>
  <si>
    <t>Dietary NE, MJ/lb using low fiber  (&lt;12% NDF)</t>
  </si>
  <si>
    <t>Dietary NE, Mcal/lb using high fiber (&gt;12% NDF)</t>
  </si>
  <si>
    <t>Dietary NE, MJ/lb using high fiber  (&gt;12% NDF)</t>
  </si>
  <si>
    <t>Feed Allocation,
lb/d</t>
  </si>
  <si>
    <t>*in unit/kg (number is in lb because of B6)</t>
  </si>
  <si>
    <t>Weight at 
Breeding, lb</t>
  </si>
  <si>
    <t>Flank Measurement, in</t>
  </si>
  <si>
    <t>BW, lb</t>
  </si>
  <si>
    <t>Est. BW, lb</t>
  </si>
  <si>
    <t>Min. Feed Intake
(1st 30 day), lb/d</t>
  </si>
  <si>
    <t>Flank measurement, in</t>
  </si>
  <si>
    <t>Predicted/Estimated body weight, lb</t>
  </si>
  <si>
    <t>Min. feed allocation (1st 30 d), lb/d</t>
  </si>
  <si>
    <t>Weight at 1st Breeding, lb</t>
  </si>
  <si>
    <t>Appendix 1. Minimal feed intake target during first 30 days of gestation</t>
  </si>
  <si>
    <t>Appendix 2. Recommended amino acid and macro mineral levels, %</t>
  </si>
  <si>
    <r>
      <t xml:space="preserve">* Visit </t>
    </r>
    <r>
      <rPr>
        <b/>
        <u/>
        <sz val="11"/>
        <color rgb="FF0000FF"/>
        <rFont val="Calibri"/>
        <family val="2"/>
        <scheme val="minor"/>
      </rPr>
      <t>https://sdsuswine.shinyapps.io/PICmodel/</t>
    </r>
    <r>
      <rPr>
        <b/>
        <sz val="11"/>
        <color theme="1"/>
        <rFont val="Calibri"/>
        <family val="2"/>
        <scheme val="minor"/>
      </rPr>
      <t xml:space="preserve"> for detailed nutrient speciifcations</t>
    </r>
  </si>
  <si>
    <t>Minimum feed allocation (1st 30 d), lb/d</t>
  </si>
  <si>
    <t>Table 2. Flank measurement, estimated body weight and corresponding min. feed intake.</t>
  </si>
  <si>
    <t>Table 1. Recommended base feed allocation for PIC terminal lines during gestation</t>
  </si>
  <si>
    <t>lb/day throughout gestation for terminal gilts and sows</t>
  </si>
  <si>
    <t>lb for gilts and IDEAL sows to gain ~1.7 caliper units throughout gestation</t>
  </si>
  <si>
    <r>
      <t xml:space="preserve">lb for </t>
    </r>
    <r>
      <rPr>
        <b/>
        <sz val="11"/>
        <color theme="4"/>
        <rFont val="Arial"/>
        <family val="2"/>
      </rPr>
      <t>THIN</t>
    </r>
    <r>
      <rPr>
        <sz val="11"/>
        <rFont val="Arial"/>
        <family val="2"/>
      </rPr>
      <t xml:space="preserve"> sows to gain 2 caliper units for every 30 days</t>
    </r>
  </si>
  <si>
    <t>lb for FAT sows to reduce 1 caliper unit throughout gestation</t>
  </si>
  <si>
    <t>IDEAL</t>
  </si>
  <si>
    <t>lb/day during 30 days for terminal sows to recovery body condition</t>
  </si>
  <si>
    <t>ME equivalent, kcal/kg</t>
  </si>
  <si>
    <t>below maintenance during the first 30 days of gestation</t>
  </si>
  <si>
    <t>FAT SOWS</t>
  </si>
  <si>
    <t>GILTS and IDEAL SOWS</t>
  </si>
  <si>
    <t>THIN SOWS / RECOVERY CONDITION</t>
  </si>
  <si>
    <t xml:space="preserve">* Feed intake summarized in this table represent the feeding levels at maintenance. PIC does not recommend feeding </t>
  </si>
  <si>
    <t>Peripartum</t>
  </si>
  <si>
    <t xml:space="preserve">PIC feeding guideline for gestation is based on sow body condtion. The goal of body condition management is to maintain sows in ideal condition and to avoid having any thin sows at farrowing or fat sows at weaning. PIC® recommends using the caliper to assess sow body condition (Figure 2, adapted from Huerta et al, 2021). Click the Figure 2 below to access the most updated technical material of sow body condition management. The critical time points to evaluate body condition is shown in Figure 3.
Moreover, PIC does not recommend feeding below maintenance during the first 30 days of gestation. Table 2 summarizes the feeding levels at maintenance, given body weight and the user-defined diet energy. For gilts, PIC recommends an energy allowance of 4.4 Mcal NE or 5.9 Mcal ME per day throughout the entire gestation regardless of body condition.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</si>
</sst>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37" x14ac:knownFonts="1">
    <font>
      <sz val="11"/>
      <color theme="1"/>
      <name val="Calibri"/>
      <family val="2"/>
      <scheme val="minor"/>
    </font>
    <font>
      <sz val="11"/>
      <color theme="1"/>
      <name val="Calibri"/>
      <family val="2"/>
      <scheme val="minor"/>
    </font>
    <font>
      <b/>
      <sz val="15"/>
      <color theme="3"/>
      <name val="Calibri"/>
      <family val="2"/>
      <scheme val="minor"/>
    </font>
    <font>
      <b/>
      <sz val="15"/>
      <color theme="1"/>
      <name val="Calibri"/>
      <family val="2"/>
      <scheme val="minor"/>
    </font>
    <font>
      <sz val="11"/>
      <name val="Arial"/>
      <family val="2"/>
    </font>
    <font>
      <b/>
      <sz val="11"/>
      <color theme="4"/>
      <name val="Arial"/>
      <family val="2"/>
    </font>
    <font>
      <sz val="11"/>
      <color rgb="FF3F3F76"/>
      <name val="Calibri"/>
      <family val="2"/>
      <scheme val="minor"/>
    </font>
    <font>
      <b/>
      <sz val="16"/>
      <color rgb="FFFF0000"/>
      <name val="Calibri"/>
      <family val="2"/>
      <scheme val="minor"/>
    </font>
    <font>
      <sz val="10"/>
      <name val="Arial"/>
      <family val="2"/>
    </font>
    <font>
      <b/>
      <sz val="14"/>
      <color indexed="9"/>
      <name val="Verdana"/>
      <family val="2"/>
    </font>
    <font>
      <sz val="12"/>
      <name val="Verdana"/>
      <family val="2"/>
    </font>
    <font>
      <vertAlign val="superscript"/>
      <sz val="12"/>
      <name val="Verdana"/>
      <family val="2"/>
    </font>
    <font>
      <sz val="8"/>
      <name val="Arial"/>
      <family val="2"/>
    </font>
    <font>
      <vertAlign val="subscript"/>
      <sz val="8"/>
      <name val="Arial"/>
      <family val="2"/>
    </font>
    <font>
      <b/>
      <sz val="10"/>
      <name val="Arial"/>
      <family val="2"/>
    </font>
    <font>
      <b/>
      <sz val="10"/>
      <color rgb="FFFF0000"/>
      <name val="Arial"/>
      <family val="2"/>
    </font>
    <font>
      <b/>
      <sz val="26"/>
      <color theme="1"/>
      <name val="Calibri"/>
      <family val="2"/>
      <scheme val="minor"/>
    </font>
    <font>
      <b/>
      <sz val="15"/>
      <color rgb="FFFF0000"/>
      <name val="Calibri"/>
      <family val="2"/>
      <scheme val="minor"/>
    </font>
    <font>
      <sz val="11"/>
      <color rgb="FF000000"/>
      <name val="Calibri"/>
      <family val="2"/>
    </font>
    <font>
      <sz val="11"/>
      <color rgb="FF9C0006"/>
      <name val="Calibri"/>
      <family val="2"/>
    </font>
    <font>
      <sz val="11"/>
      <color rgb="FF006100"/>
      <name val="Calibri"/>
      <family val="2"/>
    </font>
    <font>
      <b/>
      <sz val="11"/>
      <color rgb="FF000000"/>
      <name val="Calibri"/>
      <family val="2"/>
    </font>
    <font>
      <b/>
      <sz val="10"/>
      <color rgb="FF000000"/>
      <name val="Calibri"/>
      <family val="2"/>
    </font>
    <font>
      <b/>
      <sz val="14"/>
      <color theme="3"/>
      <name val="Calibri"/>
      <family val="2"/>
      <scheme val="minor"/>
    </font>
    <font>
      <b/>
      <sz val="14"/>
      <color theme="1"/>
      <name val="Calibri"/>
      <family val="2"/>
      <scheme val="minor"/>
    </font>
    <font>
      <b/>
      <sz val="12"/>
      <color theme="1"/>
      <name val="Calibri"/>
      <family val="2"/>
      <scheme val="minor"/>
    </font>
    <font>
      <b/>
      <sz val="10"/>
      <color theme="3"/>
      <name val="Calibri"/>
      <family val="2"/>
      <scheme val="minor"/>
    </font>
    <font>
      <sz val="10"/>
      <color rgb="FF3F3F76"/>
      <name val="Calibri"/>
      <family val="2"/>
      <scheme val="minor"/>
    </font>
    <font>
      <b/>
      <sz val="11"/>
      <color theme="1"/>
      <name val="Calibri"/>
      <family val="2"/>
      <scheme val="minor"/>
    </font>
    <font>
      <b/>
      <sz val="14"/>
      <color rgb="FFFF0000"/>
      <name val="Calibri"/>
      <family val="2"/>
      <scheme val="minor"/>
    </font>
    <font>
      <sz val="14"/>
      <color theme="3"/>
      <name val="Calibri"/>
      <family val="2"/>
      <scheme val="minor"/>
    </font>
    <font>
      <b/>
      <sz val="12"/>
      <name val="Calibri"/>
      <family val="2"/>
      <scheme val="minor"/>
    </font>
    <font>
      <u/>
      <sz val="11"/>
      <color theme="10"/>
      <name val="Calibri"/>
      <family val="2"/>
      <scheme val="minor"/>
    </font>
    <font>
      <sz val="14"/>
      <color theme="1"/>
      <name val="Calibri"/>
      <family val="2"/>
      <scheme val="minor"/>
    </font>
    <font>
      <sz val="13"/>
      <color theme="1"/>
      <name val="Calibri"/>
      <family val="2"/>
      <scheme val="minor"/>
    </font>
    <font>
      <b/>
      <u/>
      <sz val="11"/>
      <color rgb="FF0000FF"/>
      <name val="Calibri"/>
      <family val="2"/>
      <scheme val="minor"/>
    </font>
    <font>
      <b/>
      <sz val="11"/>
      <color theme="10"/>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rgb="FFFFC7CE"/>
        <bgColor rgb="FFFFC7CE"/>
      </patternFill>
    </fill>
    <fill>
      <patternFill patternType="solid">
        <fgColor rgb="FFC6EFCE"/>
        <bgColor rgb="FFC6EFCE"/>
      </patternFill>
    </fill>
  </fills>
  <borders count="26">
    <border>
      <left/>
      <right/>
      <top/>
      <bottom/>
      <diagonal/>
    </border>
    <border>
      <left/>
      <right/>
      <top/>
      <bottom style="thick">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ck">
        <color theme="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s>
  <cellStyleXfs count="12">
    <xf numFmtId="0" fontId="0" fillId="0" borderId="0"/>
    <xf numFmtId="9" fontId="1" fillId="0" borderId="0" applyFont="0" applyFill="0" applyBorder="0" applyAlignment="0" applyProtection="0"/>
    <xf numFmtId="0" fontId="2" fillId="0" borderId="1" applyNumberFormat="0" applyFill="0" applyAlignment="0" applyProtection="0"/>
    <xf numFmtId="0" fontId="6" fillId="3" borderId="6" applyNumberFormat="0" applyAlignment="0" applyProtection="0"/>
    <xf numFmtId="0" fontId="8" fillId="0" borderId="0"/>
    <xf numFmtId="9" fontId="8" fillId="0" borderId="0" applyFont="0" applyFill="0" applyBorder="0" applyAlignment="0" applyProtection="0"/>
    <xf numFmtId="0" fontId="18" fillId="0" borderId="0"/>
    <xf numFmtId="9" fontId="18" fillId="0" borderId="0" applyFont="0" applyFill="0" applyBorder="0" applyAlignment="0" applyProtection="0"/>
    <xf numFmtId="0" fontId="19" fillId="8" borderId="0" applyNumberFormat="0" applyBorder="0" applyAlignment="0" applyProtection="0"/>
    <xf numFmtId="0" fontId="20" fillId="9" borderId="0" applyNumberFormat="0" applyBorder="0" applyAlignment="0" applyProtection="0"/>
    <xf numFmtId="43" fontId="1" fillId="0" borderId="0" applyFont="0" applyFill="0" applyBorder="0" applyAlignment="0" applyProtection="0"/>
    <xf numFmtId="0" fontId="32" fillId="0" borderId="0" applyNumberFormat="0" applyFill="0" applyBorder="0" applyAlignment="0" applyProtection="0"/>
  </cellStyleXfs>
  <cellXfs count="179">
    <xf numFmtId="0" fontId="0" fillId="0" borderId="0" xfId="0"/>
    <xf numFmtId="0" fontId="0" fillId="0" borderId="0" xfId="0" applyProtection="1"/>
    <xf numFmtId="0" fontId="2" fillId="0" borderId="1" xfId="2" applyProtection="1"/>
    <xf numFmtId="10" fontId="2" fillId="0" borderId="1" xfId="1" applyNumberFormat="1" applyFont="1" applyBorder="1" applyAlignment="1" applyProtection="1">
      <alignment horizontal="center"/>
    </xf>
    <xf numFmtId="0" fontId="2" fillId="0" borderId="1" xfId="2" applyAlignment="1" applyProtection="1">
      <alignment vertical="center"/>
    </xf>
    <xf numFmtId="0" fontId="8" fillId="0" borderId="0" xfId="4" applyProtection="1">
      <protection hidden="1"/>
    </xf>
    <xf numFmtId="0" fontId="8" fillId="0" borderId="0" xfId="4"/>
    <xf numFmtId="1" fontId="14" fillId="4" borderId="4" xfId="4" applyNumberFormat="1" applyFont="1" applyFill="1" applyBorder="1" applyAlignment="1" applyProtection="1">
      <alignment horizontal="center" vertical="center"/>
      <protection locked="0"/>
    </xf>
    <xf numFmtId="0" fontId="8" fillId="4" borderId="0" xfId="4" applyFill="1" applyProtection="1">
      <protection hidden="1"/>
    </xf>
    <xf numFmtId="1" fontId="8" fillId="0" borderId="0" xfId="4" applyNumberFormat="1"/>
    <xf numFmtId="0" fontId="8" fillId="7" borderId="14" xfId="4" applyFill="1" applyBorder="1" applyAlignment="1" applyProtection="1">
      <alignment horizontal="center" vertical="center"/>
      <protection hidden="1"/>
    </xf>
    <xf numFmtId="0" fontId="8" fillId="7" borderId="15" xfId="4" applyFill="1" applyBorder="1" applyAlignment="1" applyProtection="1">
      <alignment horizontal="center" vertical="center" wrapText="1"/>
      <protection hidden="1"/>
    </xf>
    <xf numFmtId="0" fontId="8" fillId="7" borderId="15" xfId="4" applyFont="1" applyFill="1" applyBorder="1" applyAlignment="1" applyProtection="1">
      <alignment horizontal="center" vertical="center" wrapText="1"/>
      <protection hidden="1"/>
    </xf>
    <xf numFmtId="0" fontId="8" fillId="7" borderId="15" xfId="4" applyFont="1" applyFill="1" applyBorder="1" applyAlignment="1" applyProtection="1">
      <alignment horizontal="center" vertical="center"/>
      <protection hidden="1"/>
    </xf>
    <xf numFmtId="0" fontId="8" fillId="7" borderId="16" xfId="4" applyFont="1" applyFill="1" applyBorder="1" applyAlignment="1" applyProtection="1">
      <alignment horizontal="center" vertical="center"/>
      <protection hidden="1"/>
    </xf>
    <xf numFmtId="0" fontId="8" fillId="7" borderId="17" xfId="4" applyFill="1" applyBorder="1" applyAlignment="1" applyProtection="1">
      <alignment horizontal="center" vertical="center"/>
      <protection hidden="1"/>
    </xf>
    <xf numFmtId="165" fontId="8" fillId="4" borderId="18" xfId="4" applyNumberFormat="1" applyFill="1" applyBorder="1" applyAlignment="1" applyProtection="1">
      <alignment horizontal="center" vertical="center"/>
      <protection locked="0"/>
    </xf>
    <xf numFmtId="1" fontId="8" fillId="4" borderId="18" xfId="4" applyNumberFormat="1" applyFill="1" applyBorder="1" applyAlignment="1" applyProtection="1">
      <alignment horizontal="center" vertical="center"/>
      <protection locked="0"/>
    </xf>
    <xf numFmtId="1" fontId="8" fillId="7" borderId="18" xfId="4" applyNumberFormat="1" applyFill="1" applyBorder="1" applyAlignment="1" applyProtection="1">
      <alignment horizontal="center" vertical="center"/>
      <protection hidden="1"/>
    </xf>
    <xf numFmtId="164" fontId="8" fillId="0" borderId="0" xfId="4" applyNumberFormat="1"/>
    <xf numFmtId="0" fontId="8" fillId="7" borderId="19" xfId="4" applyFill="1" applyBorder="1" applyAlignment="1" applyProtection="1">
      <alignment horizontal="center" vertical="center"/>
      <protection hidden="1"/>
    </xf>
    <xf numFmtId="165" fontId="8" fillId="4" borderId="20" xfId="4" applyNumberFormat="1" applyFill="1" applyBorder="1" applyAlignment="1" applyProtection="1">
      <alignment horizontal="center" vertical="center"/>
      <protection locked="0"/>
    </xf>
    <xf numFmtId="1" fontId="8" fillId="7" borderId="20" xfId="4" applyNumberFormat="1" applyFill="1" applyBorder="1" applyAlignment="1" applyProtection="1">
      <alignment horizontal="center" vertical="center"/>
      <protection hidden="1"/>
    </xf>
    <xf numFmtId="0" fontId="8" fillId="7" borderId="2" xfId="4" applyFill="1" applyBorder="1" applyAlignment="1" applyProtection="1">
      <alignment horizontal="center" vertical="center"/>
      <protection hidden="1"/>
    </xf>
    <xf numFmtId="0" fontId="8" fillId="7" borderId="3" xfId="4" applyFont="1" applyFill="1" applyBorder="1" applyAlignment="1" applyProtection="1">
      <alignment horizontal="center" vertical="center"/>
      <protection hidden="1"/>
    </xf>
    <xf numFmtId="1" fontId="15" fillId="7" borderId="3" xfId="4" applyNumberFormat="1" applyFont="1" applyFill="1" applyBorder="1" applyAlignment="1" applyProtection="1">
      <alignment horizontal="center" vertical="center"/>
      <protection hidden="1"/>
    </xf>
    <xf numFmtId="0" fontId="15" fillId="7" borderId="3" xfId="4" applyFont="1" applyFill="1" applyBorder="1" applyAlignment="1" applyProtection="1">
      <alignment horizontal="center" vertical="center"/>
      <protection hidden="1"/>
    </xf>
    <xf numFmtId="9" fontId="0" fillId="0" borderId="0" xfId="5" applyFont="1"/>
    <xf numFmtId="2" fontId="8" fillId="0" borderId="0" xfId="4" applyNumberFormat="1"/>
    <xf numFmtId="9" fontId="8" fillId="7" borderId="18" xfId="1" applyFont="1" applyFill="1" applyBorder="1" applyAlignment="1" applyProtection="1">
      <alignment horizontal="center" vertical="center"/>
      <protection hidden="1"/>
    </xf>
    <xf numFmtId="9" fontId="15" fillId="7" borderId="3" xfId="1" applyFont="1" applyFill="1" applyBorder="1" applyAlignment="1" applyProtection="1">
      <alignment horizontal="center" vertical="center"/>
      <protection hidden="1"/>
    </xf>
    <xf numFmtId="165" fontId="15" fillId="7" borderId="3" xfId="1" applyNumberFormat="1" applyFont="1" applyFill="1" applyBorder="1" applyAlignment="1" applyProtection="1">
      <alignment horizontal="center" vertical="center"/>
      <protection hidden="1"/>
    </xf>
    <xf numFmtId="9" fontId="2" fillId="0" borderId="1" xfId="1" applyNumberFormat="1" applyFont="1" applyBorder="1" applyAlignment="1" applyProtection="1">
      <alignment horizontal="center"/>
    </xf>
    <xf numFmtId="0" fontId="18" fillId="0" borderId="0" xfId="6"/>
    <xf numFmtId="0" fontId="18" fillId="0" borderId="0" xfId="6" applyAlignment="1">
      <alignment horizontal="center"/>
    </xf>
    <xf numFmtId="1" fontId="18" fillId="0" borderId="0" xfId="6" applyNumberFormat="1"/>
    <xf numFmtId="0" fontId="21" fillId="0" borderId="0" xfId="6" applyFont="1" applyAlignment="1"/>
    <xf numFmtId="1" fontId="18" fillId="0" borderId="0" xfId="6" applyNumberFormat="1" applyAlignment="1">
      <alignment horizontal="center"/>
    </xf>
    <xf numFmtId="0" fontId="22" fillId="0" borderId="7" xfId="6" applyFont="1" applyBorder="1" applyAlignment="1"/>
    <xf numFmtId="0" fontId="22" fillId="0" borderId="5" xfId="6" applyFont="1" applyBorder="1" applyAlignment="1"/>
    <xf numFmtId="0" fontId="18" fillId="0" borderId="5" xfId="6" applyBorder="1"/>
    <xf numFmtId="0" fontId="18" fillId="0" borderId="8" xfId="6" applyBorder="1"/>
    <xf numFmtId="0" fontId="18" fillId="0" borderId="21" xfId="6" applyBorder="1"/>
    <xf numFmtId="0" fontId="18" fillId="0" borderId="0" xfId="6" applyBorder="1"/>
    <xf numFmtId="0" fontId="18" fillId="0" borderId="0" xfId="6" applyBorder="1" applyAlignment="1">
      <alignment horizontal="center" vertical="center"/>
    </xf>
    <xf numFmtId="0" fontId="18" fillId="0" borderId="22" xfId="6" applyBorder="1" applyAlignment="1">
      <alignment horizontal="center" vertical="center"/>
    </xf>
    <xf numFmtId="0" fontId="18" fillId="0" borderId="21" xfId="6" applyBorder="1" applyAlignment="1">
      <alignment horizontal="center" vertical="center"/>
    </xf>
    <xf numFmtId="1" fontId="18" fillId="0" borderId="0" xfId="6" applyNumberFormat="1" applyBorder="1" applyAlignment="1">
      <alignment horizontal="center" vertical="center"/>
    </xf>
    <xf numFmtId="164" fontId="18" fillId="0" borderId="22" xfId="6" applyNumberFormat="1" applyBorder="1" applyAlignment="1">
      <alignment horizontal="center" vertical="center"/>
    </xf>
    <xf numFmtId="164" fontId="18" fillId="0" borderId="21" xfId="6" applyNumberFormat="1" applyBorder="1" applyAlignment="1">
      <alignment horizontal="center" vertical="center"/>
    </xf>
    <xf numFmtId="164" fontId="18" fillId="0" borderId="0" xfId="6" applyNumberFormat="1" applyBorder="1" applyAlignment="1">
      <alignment horizontal="center" vertical="center"/>
    </xf>
    <xf numFmtId="164" fontId="18" fillId="0" borderId="9" xfId="6" applyNumberFormat="1" applyBorder="1" applyAlignment="1">
      <alignment horizontal="center" vertical="center"/>
    </xf>
    <xf numFmtId="164" fontId="18" fillId="0" borderId="10" xfId="6" applyNumberFormat="1" applyBorder="1" applyAlignment="1">
      <alignment horizontal="center" vertical="center"/>
    </xf>
    <xf numFmtId="1" fontId="18" fillId="0" borderId="10" xfId="6" applyNumberFormat="1" applyBorder="1" applyAlignment="1">
      <alignment horizontal="center" vertical="center"/>
    </xf>
    <xf numFmtId="164" fontId="18" fillId="0" borderId="11" xfId="6" applyNumberFormat="1" applyBorder="1" applyAlignment="1">
      <alignment horizontal="center" vertical="center"/>
    </xf>
    <xf numFmtId="2" fontId="18" fillId="0" borderId="22" xfId="6" applyNumberFormat="1" applyBorder="1" applyAlignment="1">
      <alignment horizontal="center" vertical="center"/>
    </xf>
    <xf numFmtId="0" fontId="18" fillId="0" borderId="10" xfId="6" applyBorder="1" applyAlignment="1">
      <alignment horizontal="center" vertical="center"/>
    </xf>
    <xf numFmtId="2" fontId="18" fillId="0" borderId="11" xfId="6" applyNumberFormat="1" applyBorder="1" applyAlignment="1">
      <alignment horizontal="center" vertical="center"/>
    </xf>
    <xf numFmtId="0" fontId="18" fillId="0" borderId="5" xfId="6" applyBorder="1" applyAlignment="1"/>
    <xf numFmtId="0" fontId="18" fillId="0" borderId="21" xfId="6" applyBorder="1" applyAlignment="1"/>
    <xf numFmtId="0" fontId="18" fillId="0" borderId="0" xfId="6" applyBorder="1" applyAlignment="1"/>
    <xf numFmtId="0" fontId="18" fillId="0" borderId="22" xfId="6" applyBorder="1"/>
    <xf numFmtId="0" fontId="18" fillId="0" borderId="21" xfId="6" applyBorder="1" applyAlignment="1">
      <alignment horizontal="center"/>
    </xf>
    <xf numFmtId="2" fontId="18" fillId="0" borderId="21" xfId="6" applyNumberFormat="1" applyBorder="1" applyAlignment="1">
      <alignment horizontal="center" vertical="center"/>
    </xf>
    <xf numFmtId="2" fontId="18" fillId="0" borderId="0" xfId="6" applyNumberFormat="1" applyBorder="1" applyAlignment="1">
      <alignment horizontal="center" vertical="center"/>
    </xf>
    <xf numFmtId="2" fontId="18" fillId="0" borderId="9" xfId="6" applyNumberFormat="1" applyBorder="1" applyAlignment="1">
      <alignment horizontal="center" vertical="center"/>
    </xf>
    <xf numFmtId="2" fontId="18" fillId="0" borderId="10" xfId="6" applyNumberFormat="1" applyBorder="1" applyAlignment="1">
      <alignment horizontal="center" vertical="center"/>
    </xf>
    <xf numFmtId="0" fontId="18" fillId="0" borderId="7" xfId="6" applyBorder="1"/>
    <xf numFmtId="2" fontId="18" fillId="0" borderId="8" xfId="6" applyNumberFormat="1" applyBorder="1"/>
    <xf numFmtId="2" fontId="18" fillId="0" borderId="22" xfId="6" applyNumberFormat="1" applyBorder="1"/>
    <xf numFmtId="164" fontId="18" fillId="0" borderId="22" xfId="6" applyNumberFormat="1" applyBorder="1"/>
    <xf numFmtId="0" fontId="18" fillId="0" borderId="9" xfId="6" applyBorder="1"/>
    <xf numFmtId="2" fontId="18" fillId="0" borderId="11" xfId="6" applyNumberFormat="1" applyBorder="1"/>
    <xf numFmtId="1" fontId="18" fillId="0" borderId="21" xfId="6" applyNumberFormat="1" applyBorder="1" applyAlignment="1">
      <alignment horizontal="center"/>
    </xf>
    <xf numFmtId="1" fontId="18" fillId="0" borderId="0" xfId="6" applyNumberFormat="1" applyBorder="1" applyAlignment="1">
      <alignment horizontal="center"/>
    </xf>
    <xf numFmtId="1" fontId="18" fillId="0" borderId="22" xfId="6" applyNumberFormat="1" applyBorder="1" applyAlignment="1">
      <alignment horizontal="center"/>
    </xf>
    <xf numFmtId="1" fontId="18" fillId="0" borderId="9" xfId="6" applyNumberFormat="1" applyBorder="1" applyAlignment="1">
      <alignment horizontal="center"/>
    </xf>
    <xf numFmtId="0" fontId="18" fillId="0" borderId="10" xfId="6" applyBorder="1" applyAlignment="1">
      <alignment horizontal="center"/>
    </xf>
    <xf numFmtId="1" fontId="18" fillId="0" borderId="10" xfId="6" applyNumberFormat="1" applyBorder="1" applyAlignment="1">
      <alignment horizontal="center"/>
    </xf>
    <xf numFmtId="1" fontId="18" fillId="0" borderId="11" xfId="6" applyNumberFormat="1" applyBorder="1" applyAlignment="1">
      <alignment horizontal="center"/>
    </xf>
    <xf numFmtId="0" fontId="18" fillId="0" borderId="22" xfId="6" applyBorder="1" applyAlignment="1">
      <alignment horizontal="center"/>
    </xf>
    <xf numFmtId="0" fontId="18" fillId="0" borderId="11" xfId="6" applyBorder="1" applyAlignment="1">
      <alignment horizontal="center"/>
    </xf>
    <xf numFmtId="0" fontId="18" fillId="0" borderId="0" xfId="6" applyBorder="1" applyAlignment="1">
      <alignment horizontal="center"/>
    </xf>
    <xf numFmtId="0" fontId="0" fillId="0" borderId="0" xfId="0" applyAlignment="1" applyProtection="1">
      <alignment vertical="center"/>
    </xf>
    <xf numFmtId="0" fontId="3" fillId="0" borderId="0" xfId="2" applyFont="1" applyFill="1" applyBorder="1" applyAlignment="1" applyProtection="1">
      <alignment vertical="center" wrapText="1"/>
    </xf>
    <xf numFmtId="9" fontId="2" fillId="0" borderId="1" xfId="1" applyNumberFormat="1" applyFont="1" applyBorder="1" applyAlignment="1" applyProtection="1">
      <alignment horizontal="center" vertical="center"/>
    </xf>
    <xf numFmtId="0" fontId="0" fillId="0" borderId="0" xfId="0" applyFill="1" applyAlignment="1" applyProtection="1">
      <alignment vertical="center"/>
    </xf>
    <xf numFmtId="0" fontId="16" fillId="0" borderId="0" xfId="2" applyFont="1" applyFill="1" applyBorder="1" applyAlignment="1" applyProtection="1">
      <alignment horizontal="center" vertical="center"/>
    </xf>
    <xf numFmtId="1" fontId="2" fillId="0" borderId="1" xfId="2" applyNumberFormat="1" applyFill="1" applyAlignment="1" applyProtection="1">
      <alignment horizontal="center" vertical="center"/>
    </xf>
    <xf numFmtId="2" fontId="23" fillId="2" borderId="1" xfId="2" applyNumberFormat="1" applyFont="1" applyFill="1" applyAlignment="1" applyProtection="1">
      <alignment horizontal="center" vertical="center"/>
      <protection locked="0"/>
    </xf>
    <xf numFmtId="0" fontId="23" fillId="0" borderId="1" xfId="2" applyFont="1" applyAlignment="1" applyProtection="1">
      <alignment vertical="center"/>
    </xf>
    <xf numFmtId="1" fontId="23" fillId="2" borderId="1" xfId="2" applyNumberFormat="1" applyFont="1" applyFill="1" applyAlignment="1" applyProtection="1">
      <alignment horizontal="center" vertical="center"/>
      <protection locked="0"/>
    </xf>
    <xf numFmtId="0" fontId="23" fillId="0" borderId="23" xfId="2" applyFont="1" applyBorder="1" applyAlignment="1" applyProtection="1">
      <alignment horizontal="center" vertical="center" wrapText="1"/>
    </xf>
    <xf numFmtId="0" fontId="23" fillId="0" borderId="1" xfId="2" applyFont="1" applyAlignment="1" applyProtection="1">
      <alignment horizontal="center" vertical="center" wrapText="1"/>
    </xf>
    <xf numFmtId="1" fontId="23" fillId="0" borderId="1" xfId="2" applyNumberFormat="1" applyFont="1" applyFill="1" applyAlignment="1" applyProtection="1">
      <alignment horizontal="center" vertical="center"/>
    </xf>
    <xf numFmtId="165" fontId="8" fillId="0" borderId="0" xfId="1" applyNumberFormat="1" applyFont="1"/>
    <xf numFmtId="0" fontId="26" fillId="3" borderId="1" xfId="2" applyFont="1" applyFill="1" applyAlignment="1" applyProtection="1">
      <alignment vertical="center"/>
    </xf>
    <xf numFmtId="0" fontId="26" fillId="3" borderId="1" xfId="2" applyFont="1" applyFill="1" applyAlignment="1" applyProtection="1">
      <alignment horizontal="center" vertical="center"/>
    </xf>
    <xf numFmtId="0" fontId="27" fillId="3" borderId="6" xfId="3" applyFont="1" applyAlignment="1" applyProtection="1">
      <alignment vertical="center"/>
    </xf>
    <xf numFmtId="2" fontId="27" fillId="3" borderId="6" xfId="3" applyNumberFormat="1" applyFont="1" applyAlignment="1" applyProtection="1">
      <alignment horizontal="center" vertical="center"/>
    </xf>
    <xf numFmtId="0" fontId="6" fillId="3" borderId="6" xfId="3" applyAlignment="1" applyProtection="1">
      <alignment horizontal="center" vertical="center"/>
    </xf>
    <xf numFmtId="16" fontId="4" fillId="0" borderId="0" xfId="0" applyNumberFormat="1" applyFont="1" applyAlignment="1" applyProtection="1">
      <alignment horizontal="center" vertical="center"/>
    </xf>
    <xf numFmtId="2"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43" fontId="0" fillId="0" borderId="0" xfId="10" applyFont="1" applyAlignment="1" applyProtection="1">
      <alignment vertical="center"/>
    </xf>
    <xf numFmtId="0" fontId="25" fillId="0" borderId="0" xfId="2" applyFont="1" applyFill="1" applyBorder="1" applyAlignment="1" applyProtection="1">
      <alignment horizontal="center" vertical="center"/>
    </xf>
    <xf numFmtId="0" fontId="24" fillId="0" borderId="0" xfId="2" applyFont="1" applyFill="1" applyBorder="1" applyAlignment="1" applyProtection="1">
      <alignment horizontal="center" vertical="center" wrapText="1"/>
    </xf>
    <xf numFmtId="1" fontId="30" fillId="0" borderId="1" xfId="2" applyNumberFormat="1" applyFont="1" applyFill="1" applyAlignment="1" applyProtection="1">
      <alignment horizontal="center" vertical="center"/>
    </xf>
    <xf numFmtId="2" fontId="30" fillId="4" borderId="1" xfId="2" applyNumberFormat="1" applyFont="1" applyFill="1" applyAlignment="1" applyProtection="1">
      <alignment horizontal="center" vertical="center"/>
    </xf>
    <xf numFmtId="1" fontId="29" fillId="0" borderId="1" xfId="2" applyNumberFormat="1" applyFont="1" applyFill="1" applyAlignment="1" applyProtection="1">
      <alignment horizontal="left" vertical="center"/>
    </xf>
    <xf numFmtId="2" fontId="23" fillId="0" borderId="1" xfId="2" applyNumberFormat="1" applyFont="1" applyAlignment="1" applyProtection="1">
      <alignment horizontal="center" vertical="center" wrapText="1"/>
    </xf>
    <xf numFmtId="9" fontId="23" fillId="0" borderId="1" xfId="2" applyNumberFormat="1" applyFont="1" applyAlignment="1" applyProtection="1">
      <alignment horizontal="center" vertical="center" wrapText="1"/>
    </xf>
    <xf numFmtId="2" fontId="23" fillId="0" borderId="1" xfId="2" applyNumberFormat="1" applyFont="1" applyAlignment="1" applyProtection="1">
      <alignment horizontal="center" vertical="center"/>
    </xf>
    <xf numFmtId="0" fontId="28" fillId="0" borderId="0" xfId="0" applyFont="1" applyAlignment="1" applyProtection="1">
      <alignment vertical="center"/>
    </xf>
    <xf numFmtId="0" fontId="7" fillId="0" borderId="0" xfId="0" applyFont="1" applyAlignment="1" applyProtection="1">
      <alignment horizontal="center" vertical="center"/>
    </xf>
    <xf numFmtId="2" fontId="30" fillId="0" borderId="1" xfId="2" applyNumberFormat="1" applyFont="1" applyAlignment="1" applyProtection="1">
      <alignment horizontal="center" vertical="center"/>
    </xf>
    <xf numFmtId="0" fontId="21" fillId="0" borderId="7" xfId="6" applyFont="1" applyBorder="1" applyAlignment="1"/>
    <xf numFmtId="9" fontId="18" fillId="0" borderId="22" xfId="7" applyBorder="1" applyAlignment="1">
      <alignment horizontal="center"/>
    </xf>
    <xf numFmtId="9" fontId="18" fillId="0" borderId="11" xfId="7" applyBorder="1" applyAlignment="1">
      <alignment horizontal="center"/>
    </xf>
    <xf numFmtId="164" fontId="18" fillId="0" borderId="0" xfId="6" applyNumberFormat="1" applyAlignment="1">
      <alignment horizontal="center"/>
    </xf>
    <xf numFmtId="2" fontId="18" fillId="0" borderId="0" xfId="6" applyNumberFormat="1" applyAlignment="1">
      <alignment horizontal="center"/>
    </xf>
    <xf numFmtId="2" fontId="29" fillId="0" borderId="1" xfId="2" applyNumberFormat="1" applyFont="1" applyAlignment="1" applyProtection="1">
      <alignment horizontal="left" vertical="center"/>
    </xf>
    <xf numFmtId="164" fontId="30" fillId="0" borderId="1" xfId="1" applyNumberFormat="1" applyFont="1" applyBorder="1" applyAlignment="1" applyProtection="1">
      <alignment horizontal="center" vertical="center"/>
    </xf>
    <xf numFmtId="1" fontId="30" fillId="4" borderId="1" xfId="2" applyNumberFormat="1" applyFont="1" applyFill="1" applyAlignment="1" applyProtection="1">
      <alignment horizontal="center" vertical="center"/>
    </xf>
    <xf numFmtId="0" fontId="18" fillId="0" borderId="0" xfId="6" applyBorder="1" applyAlignment="1">
      <alignment horizontal="center"/>
    </xf>
    <xf numFmtId="0" fontId="18" fillId="0" borderId="0" xfId="6" applyAlignment="1">
      <alignment horizontal="center"/>
    </xf>
    <xf numFmtId="10" fontId="2" fillId="0" borderId="1" xfId="1" applyNumberFormat="1" applyFont="1" applyBorder="1" applyAlignment="1" applyProtection="1">
      <alignment horizontal="center" vertical="center"/>
    </xf>
    <xf numFmtId="0" fontId="2" fillId="0" borderId="0" xfId="2" applyFill="1" applyBorder="1" applyAlignment="1" applyProtection="1">
      <alignment vertical="center"/>
    </xf>
    <xf numFmtId="1" fontId="2" fillId="0" borderId="0" xfId="2" applyNumberFormat="1" applyFill="1" applyBorder="1" applyAlignment="1" applyProtection="1">
      <alignment horizontal="center" vertical="center"/>
    </xf>
    <xf numFmtId="0" fontId="23" fillId="0" borderId="0" xfId="2" applyFont="1" applyFill="1" applyBorder="1" applyAlignment="1" applyProtection="1">
      <alignment vertical="center"/>
    </xf>
    <xf numFmtId="0" fontId="2" fillId="0" borderId="1" xfId="2" applyFill="1" applyAlignment="1" applyProtection="1">
      <alignment vertical="center"/>
    </xf>
    <xf numFmtId="0" fontId="23" fillId="0" borderId="1" xfId="2" applyFont="1" applyFill="1" applyAlignment="1" applyProtection="1">
      <alignment vertical="center"/>
    </xf>
    <xf numFmtId="0" fontId="17" fillId="0" borderId="1" xfId="2" applyFont="1" applyFill="1" applyAlignment="1" applyProtection="1">
      <alignment horizontal="left" vertical="center"/>
    </xf>
    <xf numFmtId="2" fontId="23" fillId="0" borderId="1" xfId="2" applyNumberFormat="1" applyFont="1" applyFill="1" applyAlignment="1" applyProtection="1">
      <alignment horizontal="center" vertical="center"/>
    </xf>
    <xf numFmtId="0" fontId="23" fillId="0" borderId="1" xfId="2" applyFont="1" applyFill="1" applyAlignment="1" applyProtection="1">
      <alignment horizontal="center" vertical="center"/>
    </xf>
    <xf numFmtId="2" fontId="23" fillId="0" borderId="1" xfId="2" applyNumberFormat="1" applyFont="1" applyFill="1" applyAlignment="1" applyProtection="1">
      <alignment horizontal="center" vertical="center" wrapText="1"/>
    </xf>
    <xf numFmtId="2" fontId="0" fillId="0" borderId="0" xfId="0" applyNumberFormat="1" applyAlignment="1" applyProtection="1">
      <alignment vertical="center"/>
    </xf>
    <xf numFmtId="0" fontId="0" fillId="0" borderId="0" xfId="0" applyBorder="1" applyAlignment="1" applyProtection="1">
      <alignment vertical="center"/>
    </xf>
    <xf numFmtId="2" fontId="0" fillId="0" borderId="0" xfId="0" applyNumberFormat="1" applyAlignment="1" applyProtection="1">
      <alignment horizontal="center" vertical="center"/>
    </xf>
    <xf numFmtId="1" fontId="23" fillId="4" borderId="1" xfId="2" applyNumberFormat="1" applyFont="1" applyFill="1" applyAlignment="1" applyProtection="1">
      <alignment horizontal="center" vertical="center"/>
      <protection locked="0"/>
    </xf>
    <xf numFmtId="164" fontId="23" fillId="2" borderId="1" xfId="2" applyNumberFormat="1" applyFont="1" applyFill="1" applyAlignment="1" applyProtection="1">
      <alignment horizontal="center" vertical="center"/>
      <protection locked="0"/>
    </xf>
    <xf numFmtId="0" fontId="24" fillId="0" borderId="0" xfId="2" applyFont="1" applyFill="1" applyBorder="1" applyAlignment="1" applyProtection="1">
      <alignment vertical="center"/>
    </xf>
    <xf numFmtId="0" fontId="32" fillId="0" borderId="0" xfId="11"/>
    <xf numFmtId="0" fontId="33" fillId="0" borderId="0" xfId="0" applyFont="1" applyAlignment="1">
      <alignment vertical="top" wrapText="1"/>
    </xf>
    <xf numFmtId="0" fontId="24" fillId="0" borderId="0" xfId="0" applyFont="1"/>
    <xf numFmtId="0" fontId="34" fillId="0" borderId="0" xfId="0" applyFont="1" applyAlignment="1">
      <alignment vertical="top" wrapText="1"/>
    </xf>
    <xf numFmtId="0" fontId="23" fillId="2" borderId="1" xfId="2" applyFont="1" applyFill="1" applyAlignment="1" applyProtection="1">
      <alignment vertical="center"/>
      <protection locked="0"/>
    </xf>
    <xf numFmtId="0" fontId="29" fillId="0" borderId="1" xfId="2" applyFont="1" applyAlignment="1" applyProtection="1">
      <alignment vertical="center"/>
    </xf>
    <xf numFmtId="2" fontId="23" fillId="0" borderId="1" xfId="2" applyNumberFormat="1" applyFont="1" applyAlignment="1">
      <alignment horizontal="center" vertical="center"/>
    </xf>
    <xf numFmtId="0" fontId="23" fillId="4" borderId="1" xfId="2" applyFont="1" applyFill="1" applyAlignment="1" applyProtection="1">
      <alignment horizontal="center" vertical="center"/>
    </xf>
    <xf numFmtId="2" fontId="23" fillId="4" borderId="1" xfId="2" applyNumberFormat="1" applyFont="1" applyFill="1" applyAlignment="1">
      <alignment horizontal="center" vertical="center"/>
    </xf>
    <xf numFmtId="2" fontId="23" fillId="4" borderId="1" xfId="2" applyNumberFormat="1" applyFont="1" applyFill="1" applyAlignment="1" applyProtection="1">
      <alignment horizontal="center" vertical="center"/>
    </xf>
    <xf numFmtId="0" fontId="18" fillId="0" borderId="0" xfId="6" applyBorder="1" applyAlignment="1">
      <alignment horizontal="center"/>
    </xf>
    <xf numFmtId="2" fontId="18" fillId="0" borderId="0" xfId="6" applyNumberFormat="1"/>
    <xf numFmtId="0" fontId="30" fillId="0" borderId="0" xfId="0" applyFont="1" applyAlignment="1">
      <alignment vertical="top" wrapText="1"/>
    </xf>
    <xf numFmtId="0" fontId="36" fillId="0" borderId="0" xfId="11" applyFont="1" applyAlignment="1" applyProtection="1">
      <alignment vertical="center"/>
    </xf>
    <xf numFmtId="0" fontId="31" fillId="0" borderId="0" xfId="0" applyFont="1" applyAlignment="1" applyProtection="1">
      <alignment horizontal="left" vertical="center"/>
    </xf>
    <xf numFmtId="2" fontId="27" fillId="3" borderId="24" xfId="3" applyNumberFormat="1" applyFont="1" applyBorder="1" applyAlignment="1" applyProtection="1">
      <alignment horizontal="center" vertical="center"/>
    </xf>
    <xf numFmtId="2" fontId="27" fillId="3" borderId="25" xfId="3" applyNumberFormat="1" applyFont="1" applyBorder="1" applyAlignment="1" applyProtection="1">
      <alignment horizontal="center" vertical="center"/>
    </xf>
    <xf numFmtId="0" fontId="23" fillId="0" borderId="0" xfId="0" applyFont="1" applyAlignment="1">
      <alignment horizontal="left" vertical="top" wrapText="1"/>
    </xf>
    <xf numFmtId="0" fontId="18" fillId="0" borderId="0" xfId="6" applyAlignment="1">
      <alignment horizontal="center"/>
    </xf>
    <xf numFmtId="0" fontId="22" fillId="0" borderId="7" xfId="6" applyFont="1" applyBorder="1" applyAlignment="1">
      <alignment horizontal="center"/>
    </xf>
    <xf numFmtId="0" fontId="22" fillId="0" borderId="5" xfId="6" applyFont="1" applyBorder="1" applyAlignment="1">
      <alignment horizontal="center"/>
    </xf>
    <xf numFmtId="0" fontId="22" fillId="0" borderId="8" xfId="6" applyFont="1" applyBorder="1" applyAlignment="1">
      <alignment horizontal="center"/>
    </xf>
    <xf numFmtId="0" fontId="22" fillId="0" borderId="7" xfId="6" applyFont="1" applyBorder="1" applyAlignment="1">
      <alignment horizontal="left"/>
    </xf>
    <xf numFmtId="0" fontId="22" fillId="0" borderId="5" xfId="6" applyFont="1" applyBorder="1" applyAlignment="1">
      <alignment horizontal="left"/>
    </xf>
    <xf numFmtId="0" fontId="22" fillId="0" borderId="8" xfId="6" applyFont="1" applyBorder="1" applyAlignment="1">
      <alignment horizontal="left"/>
    </xf>
    <xf numFmtId="0" fontId="18" fillId="0" borderId="0" xfId="6" applyBorder="1" applyAlignment="1">
      <alignment horizontal="center"/>
    </xf>
    <xf numFmtId="0" fontId="9" fillId="5" borderId="7" xfId="4" applyFont="1" applyFill="1" applyBorder="1" applyAlignment="1" applyProtection="1">
      <alignment horizontal="center" vertical="center" wrapText="1"/>
      <protection hidden="1"/>
    </xf>
    <xf numFmtId="0" fontId="9" fillId="5" borderId="5" xfId="4" applyFont="1" applyFill="1" applyBorder="1" applyAlignment="1" applyProtection="1">
      <alignment horizontal="center" vertical="center" wrapText="1"/>
      <protection hidden="1"/>
    </xf>
    <xf numFmtId="0" fontId="9" fillId="5" borderId="8"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protection hidden="1"/>
    </xf>
    <xf numFmtId="0" fontId="10" fillId="5" borderId="10" xfId="4" applyFont="1" applyFill="1" applyBorder="1" applyAlignment="1" applyProtection="1">
      <alignment horizontal="center" vertical="center"/>
      <protection hidden="1"/>
    </xf>
    <xf numFmtId="0" fontId="10" fillId="5" borderId="11" xfId="4" applyFont="1" applyFill="1" applyBorder="1" applyAlignment="1" applyProtection="1">
      <alignment horizontal="center" vertical="center"/>
      <protection hidden="1"/>
    </xf>
    <xf numFmtId="0" fontId="12" fillId="6" borderId="2" xfId="4" applyFont="1" applyFill="1" applyBorder="1" applyAlignment="1" applyProtection="1">
      <alignment horizontal="left" vertical="center"/>
      <protection hidden="1"/>
    </xf>
    <xf numFmtId="0" fontId="12" fillId="6" borderId="3" xfId="4" applyFont="1" applyFill="1" applyBorder="1" applyAlignment="1" applyProtection="1">
      <alignment horizontal="left" vertical="center"/>
      <protection hidden="1"/>
    </xf>
    <xf numFmtId="0" fontId="8" fillId="7" borderId="12" xfId="4" applyFill="1" applyBorder="1" applyAlignment="1" applyProtection="1">
      <alignment horizontal="center" vertical="center" wrapText="1"/>
      <protection hidden="1"/>
    </xf>
    <xf numFmtId="0" fontId="8" fillId="7" borderId="13" xfId="4" applyFill="1" applyBorder="1" applyAlignment="1" applyProtection="1">
      <alignment horizontal="center" vertical="center" wrapText="1"/>
      <protection hidden="1"/>
    </xf>
    <xf numFmtId="0" fontId="8" fillId="7" borderId="13" xfId="4" applyFont="1" applyFill="1" applyBorder="1" applyAlignment="1" applyProtection="1">
      <alignment horizontal="center" vertical="center" wrapText="1"/>
      <protection hidden="1"/>
    </xf>
  </cellXfs>
  <cellStyles count="12">
    <cellStyle name="Bad 2" xfId="8" xr:uid="{8EB56DA3-CCD3-493C-A7E7-D8F136C6AD46}"/>
    <cellStyle name="Comma" xfId="10" builtinId="3"/>
    <cellStyle name="Good 2" xfId="9" xr:uid="{B6308213-97BD-41D2-B992-0327342EAD31}"/>
    <cellStyle name="Heading 1" xfId="2" builtinId="16"/>
    <cellStyle name="Hyperlink" xfId="11" builtinId="8"/>
    <cellStyle name="Input" xfId="3" builtinId="20"/>
    <cellStyle name="Normal" xfId="0" builtinId="0"/>
    <cellStyle name="Normal 2" xfId="4" xr:uid="{6322DDF1-3820-4A0F-9F0F-CFEF4F0A2526}"/>
    <cellStyle name="Normal 3" xfId="6" xr:uid="{AE662B2E-11A0-4ABC-9519-743B39C9FAF2}"/>
    <cellStyle name="Percent" xfId="1" builtinId="5"/>
    <cellStyle name="Percent 2" xfId="7" xr:uid="{D1893B28-AC36-49DF-8C58-1DA5EC0BF8F1}"/>
    <cellStyle name="Percent 3" xfId="5" xr:uid="{811916E1-FFE6-40CD-97CC-267A41888D9E}"/>
  </cellStyles>
  <dxfs count="2">
    <dxf>
      <font>
        <b/>
        <i val="0"/>
        <color rgb="FFFF0000"/>
      </font>
      <fill>
        <patternFill patternType="none">
          <bgColor auto="1"/>
        </patternFill>
      </fill>
    </dxf>
    <dxf>
      <font>
        <b/>
        <i val="0"/>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chemeClr val="tx1"/>
                </a:solidFill>
                <a:latin typeface="+mn-lt"/>
                <a:ea typeface="+mn-ea"/>
                <a:cs typeface="+mn-cs"/>
              </a:defRPr>
            </a:pPr>
            <a:r>
              <a:rPr lang="en-US" sz="2800" b="1">
                <a:solidFill>
                  <a:schemeClr val="tx1"/>
                </a:solidFill>
                <a:effectLst/>
              </a:rPr>
              <a:t>Figure 1. PIC Feeding Levels for Maternal Females</a:t>
            </a:r>
            <a:endParaRPr lang="en-US" sz="2800">
              <a:solidFill>
                <a:schemeClr val="tx1"/>
              </a:solidFill>
              <a:effectLst/>
            </a:endParaRPr>
          </a:p>
        </c:rich>
      </c:tx>
      <c:layout>
        <c:manualLayout>
          <c:xMode val="edge"/>
          <c:yMode val="edge"/>
          <c:x val="0.1679949398509227"/>
          <c:y val="3.6388763126824111E-2"/>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9165441280440937E-2"/>
          <c:y val="0.13092740678050838"/>
          <c:w val="0.82504219469634121"/>
          <c:h val="0.65821349296247667"/>
        </c:manualLayout>
      </c:layout>
      <c:lineChart>
        <c:grouping val="standard"/>
        <c:varyColors val="0"/>
        <c:ser>
          <c:idx val="0"/>
          <c:order val="0"/>
          <c:tx>
            <c:strRef>
              <c:f>'Maternal lines'!$C$36</c:f>
              <c:strCache>
                <c:ptCount val="1"/>
                <c:pt idx="0">
                  <c:v>lb for THIN sows to gain 2 caliper units for every 30 days</c:v>
                </c:pt>
              </c:strCache>
            </c:strRef>
          </c:tx>
          <c:spPr>
            <a:ln w="127000" cap="rnd">
              <a:solidFill>
                <a:schemeClr val="accent1"/>
              </a:solidFill>
              <a:round/>
            </a:ln>
            <a:effectLst/>
          </c:spPr>
          <c:marker>
            <c:symbol val="square"/>
            <c:size val="20"/>
            <c:spPr>
              <a:solidFill>
                <a:schemeClr val="bg1"/>
              </a:solidFill>
              <a:ln w="9525">
                <a:solidFill>
                  <a:schemeClr val="bg1"/>
                </a:solidFill>
              </a:ln>
              <a:effectLst/>
            </c:spPr>
          </c:marker>
          <c:dLbls>
            <c:dLbl>
              <c:idx val="2"/>
              <c:layout>
                <c:manualLayout>
                  <c:x val="-0.13539083809506336"/>
                  <c:y val="5.8243396462966703E-2"/>
                </c:manualLayout>
              </c:layout>
              <c:spPr>
                <a:noFill/>
                <a:ln w="38100">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ysClr val="windowText" lastClr="000000"/>
                      </a:solidFill>
                      <a:latin typeface="+mn-lt"/>
                      <a:ea typeface="+mn-ea"/>
                      <a:cs typeface="+mn-cs"/>
                    </a:defRPr>
                  </a:pPr>
                  <a:endParaRPr lang="en-US"/>
                </a:p>
              </c:txPr>
              <c:dLblPos val="r"/>
              <c:showLegendKey val="0"/>
              <c:showVal val="1"/>
              <c:showCatName val="0"/>
              <c:showSerName val="1"/>
              <c:showPercent val="0"/>
              <c:showBubbleSize val="0"/>
              <c:extLst>
                <c:ext xmlns:c15="http://schemas.microsoft.com/office/drawing/2012/chart" uri="{CE6537A1-D6FC-4f65-9D91-7224C49458BB}">
                  <c15:layout>
                    <c:manualLayout>
                      <c:w val="0.748743278173442"/>
                      <c:h val="6.7490109362285389E-2"/>
                    </c:manualLayout>
                  </c15:layout>
                </c:ext>
                <c:ext xmlns:c16="http://schemas.microsoft.com/office/drawing/2014/chart" uri="{C3380CC4-5D6E-409C-BE32-E72D297353CC}">
                  <c16:uniqueId val="{00000000-5E8C-42A8-8B89-CBEBD5F1A7D6}"/>
                </c:ext>
              </c:extLst>
            </c:dLbl>
            <c:spPr>
              <a:noFill/>
              <a:ln w="38100">
                <a:solidFill>
                  <a:srgbClr val="0070C0"/>
                </a:solid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'Maternal lines'!$B$37:$B$41</c:f>
              <c:strCache>
                <c:ptCount val="5"/>
                <c:pt idx="0">
                  <c:v>1 to 30 days</c:v>
                </c:pt>
                <c:pt idx="1">
                  <c:v>31 to 60 days</c:v>
                </c:pt>
                <c:pt idx="2">
                  <c:v>61 to 90 days</c:v>
                </c:pt>
                <c:pt idx="3">
                  <c:v>91 to 112 days</c:v>
                </c:pt>
                <c:pt idx="4">
                  <c:v>Peripartum</c:v>
                </c:pt>
              </c:strCache>
            </c:strRef>
          </c:cat>
          <c:val>
            <c:numRef>
              <c:f>'Maternal lines'!$C$37:$C$41</c:f>
              <c:numCache>
                <c:formatCode>0.00</c:formatCode>
                <c:ptCount val="5"/>
                <c:pt idx="0">
                  <c:v>5.4607508532423212</c:v>
                </c:pt>
                <c:pt idx="1">
                  <c:v>5.4607508532423212</c:v>
                </c:pt>
                <c:pt idx="2">
                  <c:v>5.4607508532423212</c:v>
                </c:pt>
                <c:pt idx="3">
                  <c:v>5.4607508532423212</c:v>
                </c:pt>
                <c:pt idx="4">
                  <c:v>5.4607508532423212</c:v>
                </c:pt>
              </c:numCache>
            </c:numRef>
          </c:val>
          <c:smooth val="0"/>
          <c:extLst>
            <c:ext xmlns:c16="http://schemas.microsoft.com/office/drawing/2014/chart" uri="{C3380CC4-5D6E-409C-BE32-E72D297353CC}">
              <c16:uniqueId val="{00000001-5E8C-42A8-8B89-CBEBD5F1A7D6}"/>
            </c:ext>
          </c:extLst>
        </c:ser>
        <c:ser>
          <c:idx val="1"/>
          <c:order val="1"/>
          <c:tx>
            <c:strRef>
              <c:f>'Maternal lines'!$D$36</c:f>
              <c:strCache>
                <c:ptCount val="1"/>
                <c:pt idx="0">
                  <c:v>lb for gilts and IDEAL sows to gain ~1.7 caliper units throughout gestation</c:v>
                </c:pt>
              </c:strCache>
            </c:strRef>
          </c:tx>
          <c:spPr>
            <a:ln w="190500" cap="rnd">
              <a:solidFill>
                <a:srgbClr val="00B050"/>
              </a:solidFill>
              <a:round/>
            </a:ln>
            <a:effectLst/>
          </c:spPr>
          <c:marker>
            <c:symbol val="none"/>
          </c:marker>
          <c:dLbls>
            <c:dLbl>
              <c:idx val="2"/>
              <c:layout>
                <c:manualLayout>
                  <c:x val="-0.1317438254767028"/>
                  <c:y val="-6.9526106667496645E-2"/>
                </c:manualLayout>
              </c:layout>
              <c:spPr>
                <a:noFill/>
                <a:ln w="38100">
                  <a:solidFill>
                    <a:schemeClr val="bg1"/>
                  </a:solidFill>
                </a:ln>
                <a:effectLst/>
              </c:spPr>
              <c:txPr>
                <a:bodyPr rot="0" spcFirstLastPara="1" vertOverflow="ellipsis" vert="horz" wrap="square" lIns="38100" tIns="19050" rIns="38100" bIns="19050" anchor="ctr" anchorCtr="1">
                  <a:noAutofit/>
                </a:bodyPr>
                <a:lstStyle/>
                <a:p>
                  <a:pPr>
                    <a:defRPr sz="1600" b="1" i="0" u="none" strike="noStrike" kern="1200" baseline="0">
                      <a:solidFill>
                        <a:sysClr val="windowText" lastClr="000000"/>
                      </a:solidFill>
                      <a:latin typeface="+mn-lt"/>
                      <a:ea typeface="+mn-ea"/>
                      <a:cs typeface="+mn-cs"/>
                    </a:defRPr>
                  </a:pPr>
                  <a:endParaRPr lang="en-US"/>
                </a:p>
              </c:txPr>
              <c:dLblPos val="r"/>
              <c:showLegendKey val="0"/>
              <c:showVal val="1"/>
              <c:showCatName val="0"/>
              <c:showSerName val="1"/>
              <c:showPercent val="0"/>
              <c:showBubbleSize val="0"/>
              <c:extLst>
                <c:ext xmlns:c15="http://schemas.microsoft.com/office/drawing/2012/chart" uri="{CE6537A1-D6FC-4f65-9D91-7224C49458BB}">
                  <c15:layout>
                    <c:manualLayout>
                      <c:w val="0.78139610986564523"/>
                      <c:h val="6.8718466435156667E-2"/>
                    </c:manualLayout>
                  </c15:layout>
                </c:ext>
                <c:ext xmlns:c16="http://schemas.microsoft.com/office/drawing/2014/chart" uri="{C3380CC4-5D6E-409C-BE32-E72D297353CC}">
                  <c16:uniqueId val="{00000002-5E8C-42A8-8B89-CBEBD5F1A7D6}"/>
                </c:ext>
              </c:extLst>
            </c:dLbl>
            <c:spPr>
              <a:noFill/>
              <a:ln w="38100">
                <a:solidFill>
                  <a:srgbClr val="00B050"/>
                </a:solid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'Maternal lines'!$B$37:$B$41</c:f>
              <c:strCache>
                <c:ptCount val="5"/>
                <c:pt idx="0">
                  <c:v>1 to 30 days</c:v>
                </c:pt>
                <c:pt idx="1">
                  <c:v>31 to 60 days</c:v>
                </c:pt>
                <c:pt idx="2">
                  <c:v>61 to 90 days</c:v>
                </c:pt>
                <c:pt idx="3">
                  <c:v>91 to 112 days</c:v>
                </c:pt>
                <c:pt idx="4">
                  <c:v>Peripartum</c:v>
                </c:pt>
              </c:strCache>
            </c:strRef>
          </c:cat>
          <c:val>
            <c:numRef>
              <c:f>'Maternal lines'!$D$37:$D$41</c:f>
              <c:numCache>
                <c:formatCode>0.00</c:formatCode>
                <c:ptCount val="5"/>
                <c:pt idx="0">
                  <c:v>4.0273037542662111</c:v>
                </c:pt>
                <c:pt idx="1">
                  <c:v>4.0273037542662111</c:v>
                </c:pt>
                <c:pt idx="2">
                  <c:v>4.0273037542662111</c:v>
                </c:pt>
                <c:pt idx="3">
                  <c:v>4.0273037542662111</c:v>
                </c:pt>
                <c:pt idx="4">
                  <c:v>4.0273037542662111</c:v>
                </c:pt>
              </c:numCache>
            </c:numRef>
          </c:val>
          <c:smooth val="0"/>
          <c:extLst>
            <c:ext xmlns:c16="http://schemas.microsoft.com/office/drawing/2014/chart" uri="{C3380CC4-5D6E-409C-BE32-E72D297353CC}">
              <c16:uniqueId val="{00000003-5E8C-42A8-8B89-CBEBD5F1A7D6}"/>
            </c:ext>
          </c:extLst>
        </c:ser>
        <c:ser>
          <c:idx val="2"/>
          <c:order val="2"/>
          <c:tx>
            <c:strRef>
              <c:f>'Maternal lines'!$E$36</c:f>
              <c:strCache>
                <c:ptCount val="1"/>
                <c:pt idx="0">
                  <c:v>lb for FAT sows to reduce 1 caliper unit throughout gestation</c:v>
                </c:pt>
              </c:strCache>
            </c:strRef>
          </c:tx>
          <c:spPr>
            <a:ln w="127000" cap="rnd">
              <a:solidFill>
                <a:srgbClr val="FF0000"/>
              </a:solidFill>
              <a:round/>
            </a:ln>
            <a:effectLst/>
          </c:spPr>
          <c:marker>
            <c:symbol val="none"/>
          </c:marker>
          <c:dLbls>
            <c:dLbl>
              <c:idx val="2"/>
              <c:layout>
                <c:manualLayout>
                  <c:x val="-0.1263395618780829"/>
                  <c:y val="4.5314032675646203E-2"/>
                </c:manualLayout>
              </c:layout>
              <c:spPr>
                <a:solidFill>
                  <a:schemeClr val="bg1"/>
                </a:solidFill>
                <a:ln w="38100">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ysClr val="windowText" lastClr="000000"/>
                      </a:solidFill>
                      <a:latin typeface="+mn-lt"/>
                      <a:ea typeface="+mn-ea"/>
                      <a:cs typeface="+mn-cs"/>
                    </a:defRPr>
                  </a:pPr>
                  <a:endParaRPr lang="en-US"/>
                </a:p>
              </c:txPr>
              <c:dLblPos val="r"/>
              <c:showLegendKey val="0"/>
              <c:showVal val="1"/>
              <c:showCatName val="0"/>
              <c:showSerName val="1"/>
              <c:showPercent val="0"/>
              <c:showBubbleSize val="0"/>
              <c:extLst>
                <c:ext xmlns:c15="http://schemas.microsoft.com/office/drawing/2012/chart" uri="{CE6537A1-D6FC-4f65-9D91-7224C49458BB}">
                  <c15:layout>
                    <c:manualLayout>
                      <c:w val="0.78755252625059424"/>
                      <c:h val="6.1487296652699586E-2"/>
                    </c:manualLayout>
                  </c15:layout>
                </c:ext>
                <c:ext xmlns:c16="http://schemas.microsoft.com/office/drawing/2014/chart" uri="{C3380CC4-5D6E-409C-BE32-E72D297353CC}">
                  <c16:uniqueId val="{00000004-5E8C-42A8-8B89-CBEBD5F1A7D6}"/>
                </c:ext>
              </c:extLst>
            </c:dLbl>
            <c:spPr>
              <a:solidFill>
                <a:schemeClr val="bg1"/>
              </a:solidFill>
              <a:ln w="38100">
                <a:solidFill>
                  <a:srgbClr val="FF0000"/>
                </a:solid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'Maternal lines'!$B$37:$B$41</c:f>
              <c:strCache>
                <c:ptCount val="5"/>
                <c:pt idx="0">
                  <c:v>1 to 30 days</c:v>
                </c:pt>
                <c:pt idx="1">
                  <c:v>31 to 60 days</c:v>
                </c:pt>
                <c:pt idx="2">
                  <c:v>61 to 90 days</c:v>
                </c:pt>
                <c:pt idx="3">
                  <c:v>91 to 112 days</c:v>
                </c:pt>
                <c:pt idx="4">
                  <c:v>Peripartum</c:v>
                </c:pt>
              </c:strCache>
            </c:strRef>
          </c:cat>
          <c:val>
            <c:numRef>
              <c:f>'Maternal lines'!$E$37:$E$41</c:f>
              <c:numCache>
                <c:formatCode>0.00</c:formatCode>
                <c:ptCount val="5"/>
                <c:pt idx="0">
                  <c:v>3.344709897610922</c:v>
                </c:pt>
                <c:pt idx="1">
                  <c:v>3.344709897610922</c:v>
                </c:pt>
                <c:pt idx="2">
                  <c:v>3.344709897610922</c:v>
                </c:pt>
                <c:pt idx="3">
                  <c:v>3.344709897610922</c:v>
                </c:pt>
                <c:pt idx="4">
                  <c:v>3.344709897610922</c:v>
                </c:pt>
              </c:numCache>
            </c:numRef>
          </c:val>
          <c:smooth val="0"/>
          <c:extLst>
            <c:ext xmlns:c16="http://schemas.microsoft.com/office/drawing/2014/chart" uri="{C3380CC4-5D6E-409C-BE32-E72D297353CC}">
              <c16:uniqueId val="{00000005-5E8C-42A8-8B89-CBEBD5F1A7D6}"/>
            </c:ext>
          </c:extLst>
        </c:ser>
        <c:dLbls>
          <c:showLegendKey val="0"/>
          <c:showVal val="0"/>
          <c:showCatName val="0"/>
          <c:showSerName val="0"/>
          <c:showPercent val="0"/>
          <c:showBubbleSize val="0"/>
        </c:dLbls>
        <c:marker val="1"/>
        <c:smooth val="0"/>
        <c:axId val="673090104"/>
        <c:axId val="673091416"/>
      </c:lineChart>
      <c:catAx>
        <c:axId val="67309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crossAx val="673091416"/>
        <c:crosses val="autoZero"/>
        <c:auto val="1"/>
        <c:lblAlgn val="ctr"/>
        <c:lblOffset val="100"/>
        <c:noMultiLvlLbl val="0"/>
      </c:catAx>
      <c:valAx>
        <c:axId val="673091416"/>
        <c:scaling>
          <c:orientation val="minMax"/>
          <c:min val="1.3"/>
        </c:scaling>
        <c:delete val="1"/>
        <c:axPos val="l"/>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pt-BR" sz="1600" b="1">
                    <a:solidFill>
                      <a:sysClr val="windowText" lastClr="000000"/>
                    </a:solidFill>
                  </a:rPr>
                  <a:t>lb/day</a:t>
                </a:r>
              </a:p>
            </c:rich>
          </c:tx>
          <c:layout>
            <c:manualLayout>
              <c:xMode val="edge"/>
              <c:yMode val="edge"/>
              <c:x val="1.1850478730615529E-2"/>
              <c:y val="0.42541474768484128"/>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numFmt formatCode="0.00" sourceLinked="1"/>
        <c:majorTickMark val="out"/>
        <c:minorTickMark val="none"/>
        <c:tickLblPos val="nextTo"/>
        <c:crossAx val="673090104"/>
        <c:crosses val="autoZero"/>
        <c:crossBetween val="midCat"/>
        <c:majorUnit val="0.2"/>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0" i="0" u="none" strike="noStrike" kern="1200" spc="0" baseline="0">
                <a:solidFill>
                  <a:sysClr val="windowText" lastClr="000000"/>
                </a:solidFill>
                <a:latin typeface="+mn-lt"/>
                <a:ea typeface="+mn-ea"/>
                <a:cs typeface="+mn-cs"/>
              </a:defRPr>
            </a:pPr>
            <a:r>
              <a:rPr lang="en-US" sz="2800" b="1">
                <a:effectLst/>
              </a:rPr>
              <a:t>PIC Feeding Levels for Terminal Females</a:t>
            </a:r>
            <a:endParaRPr lang="en-US" sz="2800">
              <a:effectLst/>
            </a:endParaRPr>
          </a:p>
        </c:rich>
      </c:tx>
      <c:layout>
        <c:manualLayout>
          <c:xMode val="edge"/>
          <c:yMode val="edge"/>
          <c:x val="0.20330417894882355"/>
          <c:y val="1.6995272833298764E-3"/>
        </c:manualLayout>
      </c:layout>
      <c:overlay val="0"/>
      <c:spPr>
        <a:noFill/>
        <a:ln>
          <a:noFill/>
        </a:ln>
        <a:effectLst/>
      </c:spPr>
      <c:txPr>
        <a:bodyPr rot="0" spcFirstLastPara="1" vertOverflow="ellipsis" vert="horz" wrap="square" anchor="ctr" anchorCtr="1"/>
        <a:lstStyle/>
        <a:p>
          <a:pPr>
            <a:defRPr sz="28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7.7980152508369135E-2"/>
          <c:y val="0.11864977257565856"/>
          <c:w val="0.84176691088362354"/>
          <c:h val="0.7607411697792249"/>
        </c:manualLayout>
      </c:layout>
      <c:lineChart>
        <c:grouping val="standard"/>
        <c:varyColors val="0"/>
        <c:ser>
          <c:idx val="0"/>
          <c:order val="0"/>
          <c:tx>
            <c:strRef>
              <c:f>'Terminal lines'!$C$35</c:f>
              <c:strCache>
                <c:ptCount val="1"/>
                <c:pt idx="0">
                  <c:v>lb/day during 30 days for terminal sows to recovery body condition</c:v>
                </c:pt>
              </c:strCache>
            </c:strRef>
          </c:tx>
          <c:spPr>
            <a:ln w="127000" cap="rnd">
              <a:solidFill>
                <a:schemeClr val="accent1"/>
              </a:solidFill>
              <a:round/>
            </a:ln>
            <a:effectLst/>
          </c:spPr>
          <c:marker>
            <c:symbol val="square"/>
            <c:size val="20"/>
            <c:spPr>
              <a:solidFill>
                <a:schemeClr val="bg1"/>
              </a:solidFill>
              <a:ln w="9525">
                <a:solidFill>
                  <a:schemeClr val="bg1"/>
                </a:solidFill>
              </a:ln>
              <a:effectLst/>
            </c:spPr>
          </c:marker>
          <c:dLbls>
            <c:dLbl>
              <c:idx val="2"/>
              <c:layout>
                <c:manualLayout>
                  <c:x val="-0.13539083809506336"/>
                  <c:y val="5.8243396462966703E-2"/>
                </c:manualLayout>
              </c:layout>
              <c:spPr>
                <a:noFill/>
                <a:ln w="38100">
                  <a:noFill/>
                </a:ln>
                <a:effectLst/>
              </c:spPr>
              <c:txPr>
                <a:bodyPr rot="0" spcFirstLastPara="1" vertOverflow="ellipsis" vert="horz" wrap="square" lIns="38100" tIns="19050" rIns="38100" bIns="19050" anchor="ctr" anchorCtr="1">
                  <a:noAutofit/>
                </a:bodyPr>
                <a:lstStyle/>
                <a:p>
                  <a:pPr>
                    <a:defRPr sz="1600" b="1" i="0" u="none" strike="noStrike" kern="1200" baseline="0">
                      <a:solidFill>
                        <a:sysClr val="windowText" lastClr="000000"/>
                      </a:solidFill>
                      <a:latin typeface="+mn-lt"/>
                      <a:ea typeface="+mn-ea"/>
                      <a:cs typeface="+mn-cs"/>
                    </a:defRPr>
                  </a:pPr>
                  <a:endParaRPr lang="en-US"/>
                </a:p>
              </c:txPr>
              <c:dLblPos val="r"/>
              <c:showLegendKey val="0"/>
              <c:showVal val="1"/>
              <c:showCatName val="0"/>
              <c:showSerName val="1"/>
              <c:showPercent val="0"/>
              <c:showBubbleSize val="0"/>
              <c:extLst>
                <c:ext xmlns:c15="http://schemas.microsoft.com/office/drawing/2012/chart" uri="{CE6537A1-D6FC-4f65-9D91-7224C49458BB}">
                  <c15:layout>
                    <c:manualLayout>
                      <c:w val="0.748743278173442"/>
                      <c:h val="6.7490109362285389E-2"/>
                    </c:manualLayout>
                  </c15:layout>
                </c:ext>
                <c:ext xmlns:c16="http://schemas.microsoft.com/office/drawing/2014/chart" uri="{C3380CC4-5D6E-409C-BE32-E72D297353CC}">
                  <c16:uniqueId val="{00000000-2DDB-4AE5-B18C-E3519C48A877}"/>
                </c:ext>
              </c:extLst>
            </c:dLbl>
            <c:spPr>
              <a:noFill/>
              <a:ln w="38100">
                <a:solidFill>
                  <a:srgbClr val="0070C0"/>
                </a:solidFill>
              </a:ln>
              <a:effectLst/>
            </c:spPr>
            <c:txPr>
              <a:bodyPr rot="0" spcFirstLastPara="1" vertOverflow="ellipsis" vert="horz" wrap="square" lIns="38100" tIns="19050" rIns="38100" bIns="19050" anchor="ctr" anchorCtr="1">
                <a:spAutoFit/>
              </a:bodyPr>
              <a:lstStyle/>
              <a:p>
                <a:pPr>
                  <a:defRPr sz="16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'Terminal lines'!$B$36:$B$40</c:f>
              <c:strCache>
                <c:ptCount val="5"/>
                <c:pt idx="0">
                  <c:v>1 to 30 days</c:v>
                </c:pt>
                <c:pt idx="1">
                  <c:v>31 to 60 days</c:v>
                </c:pt>
                <c:pt idx="2">
                  <c:v>61 to 90 days</c:v>
                </c:pt>
                <c:pt idx="3">
                  <c:v>91 to 112 days</c:v>
                </c:pt>
                <c:pt idx="4">
                  <c:v>112 to farrowing</c:v>
                </c:pt>
              </c:strCache>
            </c:strRef>
          </c:cat>
          <c:val>
            <c:numRef>
              <c:f>'Terminal lines'!$C$36:$C$40</c:f>
              <c:numCache>
                <c:formatCode>0.00</c:formatCode>
                <c:ptCount val="5"/>
                <c:pt idx="0">
                  <c:v>5.3353277742142406</c:v>
                </c:pt>
                <c:pt idx="1">
                  <c:v>5.3353277742142406</c:v>
                </c:pt>
                <c:pt idx="2">
                  <c:v>5.3353277742142406</c:v>
                </c:pt>
                <c:pt idx="3">
                  <c:v>5.3353277742142406</c:v>
                </c:pt>
                <c:pt idx="4">
                  <c:v>5.3353277742142406</c:v>
                </c:pt>
              </c:numCache>
            </c:numRef>
          </c:val>
          <c:smooth val="0"/>
          <c:extLst>
            <c:ext xmlns:c16="http://schemas.microsoft.com/office/drawing/2014/chart" uri="{C3380CC4-5D6E-409C-BE32-E72D297353CC}">
              <c16:uniqueId val="{00000001-2DDB-4AE5-B18C-E3519C48A877}"/>
            </c:ext>
          </c:extLst>
        </c:ser>
        <c:ser>
          <c:idx val="1"/>
          <c:order val="1"/>
          <c:tx>
            <c:strRef>
              <c:f>'Terminal lines'!$D$35</c:f>
              <c:strCache>
                <c:ptCount val="1"/>
                <c:pt idx="0">
                  <c:v>lb/day throughout gestation for terminal gilts and sows</c:v>
                </c:pt>
              </c:strCache>
            </c:strRef>
          </c:tx>
          <c:spPr>
            <a:ln w="190500" cap="rnd">
              <a:solidFill>
                <a:srgbClr val="00B050"/>
              </a:solidFill>
              <a:round/>
            </a:ln>
            <a:effectLst/>
          </c:spPr>
          <c:marker>
            <c:symbol val="none"/>
          </c:marker>
          <c:dLbls>
            <c:dLbl>
              <c:idx val="2"/>
              <c:layout>
                <c:manualLayout>
                  <c:x val="-0.12831611810248739"/>
                  <c:y val="6.7881903381078496E-2"/>
                </c:manualLayout>
              </c:layout>
              <c:spPr>
                <a:noFill/>
                <a:ln w="38100">
                  <a:solidFill>
                    <a:schemeClr val="bg1"/>
                  </a:solidFill>
                </a:ln>
                <a:effectLst/>
              </c:spPr>
              <c:txPr>
                <a:bodyPr rot="0" spcFirstLastPara="1" vertOverflow="ellipsis" vert="horz" wrap="square" lIns="38100" tIns="19050" rIns="38100" bIns="19050" anchor="ctr" anchorCtr="1">
                  <a:noAutofit/>
                </a:bodyPr>
                <a:lstStyle/>
                <a:p>
                  <a:pPr>
                    <a:defRPr sz="1600" b="1" i="0" u="none" strike="noStrike" kern="1200" baseline="0">
                      <a:solidFill>
                        <a:sysClr val="windowText" lastClr="000000"/>
                      </a:solidFill>
                      <a:latin typeface="+mn-lt"/>
                      <a:ea typeface="+mn-ea"/>
                      <a:cs typeface="+mn-cs"/>
                    </a:defRPr>
                  </a:pPr>
                  <a:endParaRPr lang="en-US"/>
                </a:p>
              </c:txPr>
              <c:dLblPos val="r"/>
              <c:showLegendKey val="0"/>
              <c:showVal val="1"/>
              <c:showCatName val="0"/>
              <c:showSerName val="1"/>
              <c:showPercent val="0"/>
              <c:showBubbleSize val="0"/>
              <c:extLst>
                <c:ext xmlns:c15="http://schemas.microsoft.com/office/drawing/2012/chart" uri="{CE6537A1-D6FC-4f65-9D91-7224C49458BB}">
                  <c15:layout>
                    <c:manualLayout>
                      <c:w val="0.78139610986564523"/>
                      <c:h val="6.8718466435156667E-2"/>
                    </c:manualLayout>
                  </c15:layout>
                </c:ext>
                <c:ext xmlns:c16="http://schemas.microsoft.com/office/drawing/2014/chart" uri="{C3380CC4-5D6E-409C-BE32-E72D297353CC}">
                  <c16:uniqueId val="{00000002-2DDB-4AE5-B18C-E3519C48A877}"/>
                </c:ext>
              </c:extLst>
            </c:dLbl>
            <c:spPr>
              <a:noFill/>
              <a:ln w="38100">
                <a:solidFill>
                  <a:srgbClr val="00B050"/>
                </a:solid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'Terminal lines'!$B$36:$B$40</c:f>
              <c:strCache>
                <c:ptCount val="5"/>
                <c:pt idx="0">
                  <c:v>1 to 30 days</c:v>
                </c:pt>
                <c:pt idx="1">
                  <c:v>31 to 60 days</c:v>
                </c:pt>
                <c:pt idx="2">
                  <c:v>61 to 90 days</c:v>
                </c:pt>
                <c:pt idx="3">
                  <c:v>91 to 112 days</c:v>
                </c:pt>
                <c:pt idx="4">
                  <c:v>112 to farrowing</c:v>
                </c:pt>
              </c:strCache>
            </c:strRef>
          </c:cat>
          <c:val>
            <c:numRef>
              <c:f>'Terminal lines'!$D$36:$D$40</c:f>
              <c:numCache>
                <c:formatCode>0.00</c:formatCode>
                <c:ptCount val="5"/>
                <c:pt idx="0">
                  <c:v>3.2678882617062226</c:v>
                </c:pt>
                <c:pt idx="1">
                  <c:v>3.2678882617062226</c:v>
                </c:pt>
                <c:pt idx="2">
                  <c:v>3.2678882617062226</c:v>
                </c:pt>
                <c:pt idx="3">
                  <c:v>3.2678882617062226</c:v>
                </c:pt>
                <c:pt idx="4">
                  <c:v>3.2678882617062226</c:v>
                </c:pt>
              </c:numCache>
            </c:numRef>
          </c:val>
          <c:smooth val="0"/>
          <c:extLst>
            <c:ext xmlns:c16="http://schemas.microsoft.com/office/drawing/2014/chart" uri="{C3380CC4-5D6E-409C-BE32-E72D297353CC}">
              <c16:uniqueId val="{00000003-2DDB-4AE5-B18C-E3519C48A877}"/>
            </c:ext>
          </c:extLst>
        </c:ser>
        <c:ser>
          <c:idx val="2"/>
          <c:order val="2"/>
          <c:tx>
            <c:strRef>
              <c:f>'Sirelines, metric'!#REF!</c:f>
              <c:strCache>
                <c:ptCount val="1"/>
                <c:pt idx="0">
                  <c:v>#REF!</c:v>
                </c:pt>
              </c:strCache>
            </c:strRef>
          </c:tx>
          <c:spPr>
            <a:ln w="28575" cap="rnd">
              <a:solidFill>
                <a:schemeClr val="accent3"/>
              </a:solidFill>
              <a:round/>
            </a:ln>
            <a:effectLst/>
          </c:spPr>
          <c:marker>
            <c:symbol val="none"/>
          </c:marker>
          <c:cat>
            <c:strRef>
              <c:f>'Terminal lines'!$B$36:$B$40</c:f>
              <c:strCache>
                <c:ptCount val="5"/>
                <c:pt idx="0">
                  <c:v>1 to 30 days</c:v>
                </c:pt>
                <c:pt idx="1">
                  <c:v>31 to 60 days</c:v>
                </c:pt>
                <c:pt idx="2">
                  <c:v>61 to 90 days</c:v>
                </c:pt>
                <c:pt idx="3">
                  <c:v>91 to 112 days</c:v>
                </c:pt>
                <c:pt idx="4">
                  <c:v>112 to farrowing</c:v>
                </c:pt>
              </c:strCache>
            </c:strRef>
          </c:cat>
          <c:val>
            <c:numRef>
              <c:f>'Sirelines, metric'!#REF!</c:f>
              <c:numCache>
                <c:formatCode>General</c:formatCode>
                <c:ptCount val="1"/>
                <c:pt idx="0">
                  <c:v>1</c:v>
                </c:pt>
              </c:numCache>
            </c:numRef>
          </c:val>
          <c:smooth val="0"/>
          <c:extLst>
            <c:ext xmlns:c16="http://schemas.microsoft.com/office/drawing/2014/chart" uri="{C3380CC4-5D6E-409C-BE32-E72D297353CC}">
              <c16:uniqueId val="{00000004-2DDB-4AE5-B18C-E3519C48A877}"/>
            </c:ext>
          </c:extLst>
        </c:ser>
        <c:dLbls>
          <c:showLegendKey val="0"/>
          <c:showVal val="0"/>
          <c:showCatName val="0"/>
          <c:showSerName val="0"/>
          <c:showPercent val="0"/>
          <c:showBubbleSize val="0"/>
        </c:dLbls>
        <c:marker val="1"/>
        <c:smooth val="0"/>
        <c:axId val="673090104"/>
        <c:axId val="673091416"/>
      </c:lineChart>
      <c:catAx>
        <c:axId val="673090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crossAx val="673091416"/>
        <c:crosses val="autoZero"/>
        <c:auto val="1"/>
        <c:lblAlgn val="ctr"/>
        <c:lblOffset val="100"/>
        <c:noMultiLvlLbl val="0"/>
      </c:catAx>
      <c:valAx>
        <c:axId val="673091416"/>
        <c:scaling>
          <c:orientation val="minMax"/>
          <c:min val="1.3"/>
        </c:scaling>
        <c:delete val="1"/>
        <c:axPos val="l"/>
        <c:title>
          <c:tx>
            <c:rich>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r>
                  <a:rPr lang="pt-BR" sz="1600" b="1">
                    <a:solidFill>
                      <a:sysClr val="windowText" lastClr="000000"/>
                    </a:solidFill>
                  </a:rPr>
                  <a:t>lb/day</a:t>
                </a:r>
              </a:p>
            </c:rich>
          </c:tx>
          <c:layout>
            <c:manualLayout>
              <c:xMode val="edge"/>
              <c:yMode val="edge"/>
              <c:x val="2.1598480427823925E-2"/>
              <c:y val="0.41788407731527982"/>
            </c:manualLayout>
          </c:layout>
          <c:overlay val="0"/>
          <c:spPr>
            <a:noFill/>
            <a:ln>
              <a:noFill/>
            </a:ln>
            <a:effectLst/>
          </c:spPr>
          <c:txPr>
            <a:bodyPr rot="-5400000" spcFirstLastPara="1" vertOverflow="ellipsis" vert="horz" wrap="square" anchor="ctr" anchorCtr="1"/>
            <a:lstStyle/>
            <a:p>
              <a:pPr>
                <a:defRPr sz="1600" b="1" i="0" u="none" strike="noStrike" kern="1200" baseline="0">
                  <a:solidFill>
                    <a:sysClr val="windowText" lastClr="000000"/>
                  </a:solidFill>
                  <a:latin typeface="+mn-lt"/>
                  <a:ea typeface="+mn-ea"/>
                  <a:cs typeface="+mn-cs"/>
                </a:defRPr>
              </a:pPr>
              <a:endParaRPr lang="en-US"/>
            </a:p>
          </c:txPr>
        </c:title>
        <c:numFmt formatCode="0.00" sourceLinked="1"/>
        <c:majorTickMark val="out"/>
        <c:minorTickMark val="none"/>
        <c:tickLblPos val="nextTo"/>
        <c:crossAx val="673090104"/>
        <c:crosses val="autoZero"/>
        <c:crossBetween val="midCat"/>
        <c:majorUnit val="0.2"/>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91269968157536"/>
          <c:y val="2.4078137773762491E-2"/>
          <c:w val="0.8799142607174103"/>
          <c:h val="0.8326195683872849"/>
        </c:manualLayout>
      </c:layout>
      <c:lineChart>
        <c:grouping val="standard"/>
        <c:varyColors val="0"/>
        <c:ser>
          <c:idx val="0"/>
          <c:order val="0"/>
          <c:tx>
            <c:strRef>
              <c:f>'I. Herd Sire (imperial)'!$D$7</c:f>
              <c:strCache>
                <c:ptCount val="1"/>
                <c:pt idx="0">
                  <c:v>Body weight (kg) - Normal</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'I. Herd Sire (imperial)'!$B$8:$B$14</c:f>
              <c:strCache>
                <c:ptCount val="7"/>
                <c:pt idx="0">
                  <c:v>P0</c:v>
                </c:pt>
                <c:pt idx="1">
                  <c:v>P1</c:v>
                </c:pt>
                <c:pt idx="2">
                  <c:v>P2</c:v>
                </c:pt>
                <c:pt idx="3">
                  <c:v>P3</c:v>
                </c:pt>
                <c:pt idx="4">
                  <c:v>P4</c:v>
                </c:pt>
                <c:pt idx="5">
                  <c:v>P5</c:v>
                </c:pt>
                <c:pt idx="6">
                  <c:v>P6+</c:v>
                </c:pt>
              </c:strCache>
            </c:strRef>
          </c:cat>
          <c:val>
            <c:numRef>
              <c:f>'I. Herd Sire (imperial)'!$D$8:$D$14</c:f>
              <c:numCache>
                <c:formatCode>0</c:formatCode>
                <c:ptCount val="7"/>
                <c:pt idx="0">
                  <c:v>374.78574000000003</c:v>
                </c:pt>
                <c:pt idx="1">
                  <c:v>435.41242117631703</c:v>
                </c:pt>
                <c:pt idx="2">
                  <c:v>479.97666285436816</c:v>
                </c:pt>
                <c:pt idx="3">
                  <c:v>510.84049771120226</c:v>
                </c:pt>
                <c:pt idx="4">
                  <c:v>530.36595842386816</c:v>
                </c:pt>
                <c:pt idx="5">
                  <c:v>540.91507766941459</c:v>
                </c:pt>
                <c:pt idx="6">
                  <c:v>544.8498881248903</c:v>
                </c:pt>
              </c:numCache>
            </c:numRef>
          </c:val>
          <c:smooth val="0"/>
          <c:extLst>
            <c:ext xmlns:c16="http://schemas.microsoft.com/office/drawing/2014/chart" uri="{C3380CC4-5D6E-409C-BE32-E72D297353CC}">
              <c16:uniqueId val="{00000000-3E84-43CA-B768-16BE5CE8E3F8}"/>
            </c:ext>
          </c:extLst>
        </c:ser>
        <c:ser>
          <c:idx val="2"/>
          <c:order val="1"/>
          <c:tx>
            <c:strRef>
              <c:f>'I. Herd Sire (imperial)'!$G$7</c:f>
              <c:strCache>
                <c:ptCount val="1"/>
                <c:pt idx="0">
                  <c:v>Body weight (kg) - Fat herd</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cat>
            <c:strRef>
              <c:f>'I. Herd Sire (imperial)'!$B$8:$B$14</c:f>
              <c:strCache>
                <c:ptCount val="7"/>
                <c:pt idx="0">
                  <c:v>P0</c:v>
                </c:pt>
                <c:pt idx="1">
                  <c:v>P1</c:v>
                </c:pt>
                <c:pt idx="2">
                  <c:v>P2</c:v>
                </c:pt>
                <c:pt idx="3">
                  <c:v>P3</c:v>
                </c:pt>
                <c:pt idx="4">
                  <c:v>P4</c:v>
                </c:pt>
                <c:pt idx="5">
                  <c:v>P5</c:v>
                </c:pt>
                <c:pt idx="6">
                  <c:v>P6+</c:v>
                </c:pt>
              </c:strCache>
            </c:strRef>
          </c:cat>
          <c:val>
            <c:numRef>
              <c:f>'I. Herd Sire (imperial)'!$G$8:$G$14</c:f>
              <c:numCache>
                <c:formatCode>0</c:formatCode>
                <c:ptCount val="7"/>
                <c:pt idx="0">
                  <c:v>374.78574000000003</c:v>
                </c:pt>
                <c:pt idx="1">
                  <c:v>431.47606748500601</c:v>
                </c:pt>
                <c:pt idx="2">
                  <c:v>473.11212939671759</c:v>
                </c:pt>
                <c:pt idx="3">
                  <c:v>501.58372824658358</c:v>
                </c:pt>
                <c:pt idx="4">
                  <c:v>518.78066654605277</c:v>
                </c:pt>
                <c:pt idx="5">
                  <c:v>526.59274680657393</c:v>
                </c:pt>
                <c:pt idx="6">
                  <c:v>526.90977153959579</c:v>
                </c:pt>
              </c:numCache>
            </c:numRef>
          </c:val>
          <c:smooth val="0"/>
          <c:extLst>
            <c:ext xmlns:c16="http://schemas.microsoft.com/office/drawing/2014/chart" uri="{C3380CC4-5D6E-409C-BE32-E72D297353CC}">
              <c16:uniqueId val="{00000001-3E84-43CA-B768-16BE5CE8E3F8}"/>
            </c:ext>
          </c:extLst>
        </c:ser>
        <c:dLbls>
          <c:showLegendKey val="0"/>
          <c:showVal val="0"/>
          <c:showCatName val="0"/>
          <c:showSerName val="0"/>
          <c:showPercent val="0"/>
          <c:showBubbleSize val="0"/>
        </c:dLbls>
        <c:smooth val="0"/>
        <c:axId val="64949248"/>
        <c:axId val="64959232"/>
      </c:lineChart>
      <c:catAx>
        <c:axId val="64949248"/>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0" spcFirstLastPara="1" vertOverflow="ellipsis" wrap="square" anchor="ctr" anchorCtr="1"/>
          <a:lstStyle/>
          <a:p>
            <a:pPr>
              <a:defRPr sz="1200" b="1" i="0" u="none" strike="noStrike" kern="1200" baseline="0">
                <a:solidFill>
                  <a:srgbClr val="00B050"/>
                </a:solidFill>
                <a:latin typeface="+mn-lt"/>
                <a:ea typeface="+mn-ea"/>
                <a:cs typeface="+mn-cs"/>
              </a:defRPr>
            </a:pPr>
            <a:endParaRPr lang="en-US"/>
          </a:p>
        </c:txPr>
        <c:crossAx val="64959232"/>
        <c:crosses val="autoZero"/>
        <c:auto val="1"/>
        <c:lblAlgn val="ctr"/>
        <c:lblOffset val="100"/>
        <c:noMultiLvlLbl val="0"/>
      </c:catAx>
      <c:valAx>
        <c:axId val="64959232"/>
        <c:scaling>
          <c:orientation val="minMax"/>
          <c:min val="120"/>
        </c:scaling>
        <c:delete val="0"/>
        <c:axPos val="l"/>
        <c:numFmt formatCode="0" sourceLinked="1"/>
        <c:majorTickMark val="none"/>
        <c:minorTickMark val="none"/>
        <c:tickLblPos val="nextTo"/>
        <c:spPr>
          <a:noFill/>
          <a:ln>
            <a:noFill/>
          </a:ln>
          <a:effectLst/>
        </c:spPr>
        <c:txPr>
          <a:bodyPr rot="0" spcFirstLastPara="1" vertOverflow="ellipsis" wrap="square" anchor="ctr" anchorCtr="1"/>
          <a:lstStyle/>
          <a:p>
            <a:pPr>
              <a:defRPr sz="1800" b="1" i="0" u="none" strike="noStrike" kern="1200" baseline="0">
                <a:solidFill>
                  <a:schemeClr val="lt1">
                    <a:lumMod val="85000"/>
                  </a:schemeClr>
                </a:solidFill>
                <a:latin typeface="+mn-lt"/>
                <a:ea typeface="+mn-ea"/>
                <a:cs typeface="+mn-cs"/>
              </a:defRPr>
            </a:pPr>
            <a:endParaRPr lang="en-US"/>
          </a:p>
        </c:txPr>
        <c:crossAx val="64949248"/>
        <c:crosses val="autoZero"/>
        <c:crossBetween val="between"/>
        <c:majorUnit val="25"/>
      </c:valAx>
      <c:spPr>
        <a:noFill/>
        <a:ln>
          <a:noFill/>
        </a:ln>
        <a:effectLst/>
      </c:spPr>
    </c:plotArea>
    <c:legend>
      <c:legendPos val="b"/>
      <c:layout>
        <c:manualLayout>
          <c:xMode val="edge"/>
          <c:yMode val="edge"/>
          <c:x val="0.51321658589694608"/>
          <c:y val="0.45727032874973578"/>
          <c:w val="0.39043751382469283"/>
          <c:h val="0.3222490097775457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000000000001077" l="0.70000000000000062" r="0.70000000000000062" t="0.750000000000010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91269968157536"/>
          <c:y val="2.4078137773762491E-2"/>
          <c:w val="0.8799142607174103"/>
          <c:h val="0.8326195683872849"/>
        </c:manualLayout>
      </c:layout>
      <c:lineChart>
        <c:grouping val="standard"/>
        <c:varyColors val="0"/>
        <c:ser>
          <c:idx val="0"/>
          <c:order val="0"/>
          <c:tx>
            <c:strRef>
              <c:f>'II. Herd Maternal (imperial)'!$D$7</c:f>
              <c:strCache>
                <c:ptCount val="1"/>
                <c:pt idx="0">
                  <c:v>Body weight (kg) - Normal</c:v>
                </c:pt>
              </c:strCache>
            </c:strRef>
          </c:tx>
          <c:spPr>
            <a:ln w="34925" cap="rnd">
              <a:solidFill>
                <a:schemeClr val="accent1"/>
              </a:solidFill>
              <a:round/>
            </a:ln>
            <a:effectLst>
              <a:outerShdw blurRad="57150" dist="19050" dir="5400000" algn="ctr" rotWithShape="0">
                <a:srgbClr val="000000">
                  <a:alpha val="63000"/>
                </a:srgbClr>
              </a:outerShdw>
            </a:effectLst>
          </c:spPr>
          <c:marker>
            <c:symbol val="none"/>
          </c:marker>
          <c:cat>
            <c:strRef>
              <c:f>'II. Herd Maternal (imperial)'!$B$8:$B$14</c:f>
              <c:strCache>
                <c:ptCount val="7"/>
                <c:pt idx="0">
                  <c:v>P0</c:v>
                </c:pt>
                <c:pt idx="1">
                  <c:v>P1</c:v>
                </c:pt>
                <c:pt idx="2">
                  <c:v>P2</c:v>
                </c:pt>
                <c:pt idx="3">
                  <c:v>P3</c:v>
                </c:pt>
                <c:pt idx="4">
                  <c:v>P4</c:v>
                </c:pt>
                <c:pt idx="5">
                  <c:v>P5</c:v>
                </c:pt>
                <c:pt idx="6">
                  <c:v>P6+</c:v>
                </c:pt>
              </c:strCache>
            </c:strRef>
          </c:cat>
          <c:val>
            <c:numRef>
              <c:f>'II. Herd Maternal (imperial)'!$D$8:$D$14</c:f>
              <c:numCache>
                <c:formatCode>0</c:formatCode>
                <c:ptCount val="7"/>
                <c:pt idx="0">
                  <c:v>320</c:v>
                </c:pt>
                <c:pt idx="1">
                  <c:v>380.62668117631699</c:v>
                </c:pt>
                <c:pt idx="2">
                  <c:v>425.19092285436813</c:v>
                </c:pt>
                <c:pt idx="3">
                  <c:v>456.05475771120223</c:v>
                </c:pt>
                <c:pt idx="4">
                  <c:v>475.58021842386808</c:v>
                </c:pt>
                <c:pt idx="5">
                  <c:v>486.1293376694145</c:v>
                </c:pt>
                <c:pt idx="6">
                  <c:v>490.06414812489021</c:v>
                </c:pt>
              </c:numCache>
            </c:numRef>
          </c:val>
          <c:smooth val="0"/>
          <c:extLst>
            <c:ext xmlns:c16="http://schemas.microsoft.com/office/drawing/2014/chart" uri="{C3380CC4-5D6E-409C-BE32-E72D297353CC}">
              <c16:uniqueId val="{00000000-A194-4768-9A13-7FFD5E319D23}"/>
            </c:ext>
          </c:extLst>
        </c:ser>
        <c:ser>
          <c:idx val="2"/>
          <c:order val="1"/>
          <c:tx>
            <c:strRef>
              <c:f>'II. Herd Maternal (imperial)'!$G$7</c:f>
              <c:strCache>
                <c:ptCount val="1"/>
                <c:pt idx="0">
                  <c:v>Body weight (kg) - Fat herd</c:v>
                </c:pt>
              </c:strCache>
            </c:strRef>
          </c:tx>
          <c:spPr>
            <a:ln w="34925" cap="rnd">
              <a:solidFill>
                <a:schemeClr val="accent3"/>
              </a:solidFill>
              <a:round/>
            </a:ln>
            <a:effectLst>
              <a:outerShdw blurRad="57150" dist="19050" dir="5400000" algn="ctr" rotWithShape="0">
                <a:srgbClr val="000000">
                  <a:alpha val="63000"/>
                </a:srgbClr>
              </a:outerShdw>
            </a:effectLst>
          </c:spPr>
          <c:marker>
            <c:symbol val="none"/>
          </c:marker>
          <c:cat>
            <c:strRef>
              <c:f>'II. Herd Maternal (imperial)'!$B$8:$B$14</c:f>
              <c:strCache>
                <c:ptCount val="7"/>
                <c:pt idx="0">
                  <c:v>P0</c:v>
                </c:pt>
                <c:pt idx="1">
                  <c:v>P1</c:v>
                </c:pt>
                <c:pt idx="2">
                  <c:v>P2</c:v>
                </c:pt>
                <c:pt idx="3">
                  <c:v>P3</c:v>
                </c:pt>
                <c:pt idx="4">
                  <c:v>P4</c:v>
                </c:pt>
                <c:pt idx="5">
                  <c:v>P5</c:v>
                </c:pt>
                <c:pt idx="6">
                  <c:v>P6+</c:v>
                </c:pt>
              </c:strCache>
            </c:strRef>
          </c:cat>
          <c:val>
            <c:numRef>
              <c:f>'II. Herd Maternal (imperial)'!$G$8:$G$14</c:f>
              <c:numCache>
                <c:formatCode>0</c:formatCode>
                <c:ptCount val="7"/>
                <c:pt idx="0">
                  <c:v>320</c:v>
                </c:pt>
                <c:pt idx="1">
                  <c:v>345.71429999999998</c:v>
                </c:pt>
                <c:pt idx="2">
                  <c:v>364.6001</c:v>
                </c:pt>
                <c:pt idx="3">
                  <c:v>377.51459999999997</c:v>
                </c:pt>
                <c:pt idx="4">
                  <c:v>385.31499999999994</c:v>
                </c:pt>
                <c:pt idx="5">
                  <c:v>388.85849999999994</c:v>
                </c:pt>
                <c:pt idx="6">
                  <c:v>389.00229999999993</c:v>
                </c:pt>
              </c:numCache>
            </c:numRef>
          </c:val>
          <c:smooth val="0"/>
          <c:extLst>
            <c:ext xmlns:c16="http://schemas.microsoft.com/office/drawing/2014/chart" uri="{C3380CC4-5D6E-409C-BE32-E72D297353CC}">
              <c16:uniqueId val="{00000001-A194-4768-9A13-7FFD5E319D23}"/>
            </c:ext>
          </c:extLst>
        </c:ser>
        <c:dLbls>
          <c:showLegendKey val="0"/>
          <c:showVal val="0"/>
          <c:showCatName val="0"/>
          <c:showSerName val="0"/>
          <c:showPercent val="0"/>
          <c:showBubbleSize val="0"/>
        </c:dLbls>
        <c:smooth val="0"/>
        <c:axId val="64949248"/>
        <c:axId val="64959232"/>
      </c:lineChart>
      <c:catAx>
        <c:axId val="64949248"/>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0" spcFirstLastPara="1" vertOverflow="ellipsis" wrap="square" anchor="ctr" anchorCtr="1"/>
          <a:lstStyle/>
          <a:p>
            <a:pPr>
              <a:defRPr sz="1200" b="1" i="0" u="none" strike="noStrike" kern="1200" baseline="0">
                <a:solidFill>
                  <a:srgbClr val="00B050"/>
                </a:solidFill>
                <a:latin typeface="+mn-lt"/>
                <a:ea typeface="+mn-ea"/>
                <a:cs typeface="+mn-cs"/>
              </a:defRPr>
            </a:pPr>
            <a:endParaRPr lang="en-US"/>
          </a:p>
        </c:txPr>
        <c:crossAx val="64959232"/>
        <c:crosses val="autoZero"/>
        <c:auto val="1"/>
        <c:lblAlgn val="ctr"/>
        <c:lblOffset val="100"/>
        <c:noMultiLvlLbl val="0"/>
      </c:catAx>
      <c:valAx>
        <c:axId val="64959232"/>
        <c:scaling>
          <c:orientation val="minMax"/>
          <c:min val="120"/>
        </c:scaling>
        <c:delete val="0"/>
        <c:axPos val="l"/>
        <c:numFmt formatCode="0" sourceLinked="1"/>
        <c:majorTickMark val="none"/>
        <c:minorTickMark val="none"/>
        <c:tickLblPos val="nextTo"/>
        <c:spPr>
          <a:noFill/>
          <a:ln>
            <a:noFill/>
          </a:ln>
          <a:effectLst/>
        </c:spPr>
        <c:txPr>
          <a:bodyPr rot="0" spcFirstLastPara="1" vertOverflow="ellipsis" wrap="square" anchor="ctr" anchorCtr="1"/>
          <a:lstStyle/>
          <a:p>
            <a:pPr>
              <a:defRPr sz="1800" b="1" i="0" u="none" strike="noStrike" kern="1200" baseline="0">
                <a:solidFill>
                  <a:schemeClr val="lt1">
                    <a:lumMod val="85000"/>
                  </a:schemeClr>
                </a:solidFill>
                <a:latin typeface="+mn-lt"/>
                <a:ea typeface="+mn-ea"/>
                <a:cs typeface="+mn-cs"/>
              </a:defRPr>
            </a:pPr>
            <a:endParaRPr lang="en-US"/>
          </a:p>
        </c:txPr>
        <c:crossAx val="64949248"/>
        <c:crosses val="autoZero"/>
        <c:crossBetween val="between"/>
        <c:majorUnit val="25"/>
      </c:valAx>
      <c:spPr>
        <a:noFill/>
        <a:ln>
          <a:noFill/>
        </a:ln>
        <a:effectLst/>
      </c:spPr>
    </c:plotArea>
    <c:legend>
      <c:legendPos val="b"/>
      <c:layout>
        <c:manualLayout>
          <c:xMode val="edge"/>
          <c:yMode val="edge"/>
          <c:x val="0.51321658589694608"/>
          <c:y val="0.45727032874973578"/>
          <c:w val="0.39043751382469283"/>
          <c:h val="0.32224900977754573"/>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000000000001077" l="0.70000000000000062" r="0.70000000000000062" t="0.75000000000001077"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dropbox.com/sh/oyd1afiu8m3uobm/AAACLm7wk0xIjRTCvDvObLOPa?dl=0" TargetMode="Externa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hyperlink" Target="http://dynamicfemalefeeding.pic.com/" TargetMode="External"/><Relationship Id="rId5" Type="http://schemas.openxmlformats.org/officeDocument/2006/relationships/image" Target="../media/image3.pn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1</xdr:row>
      <xdr:rowOff>47625</xdr:rowOff>
    </xdr:from>
    <xdr:to>
      <xdr:col>15</xdr:col>
      <xdr:colOff>191975</xdr:colOff>
      <xdr:row>9</xdr:row>
      <xdr:rowOff>110967</xdr:rowOff>
    </xdr:to>
    <xdr:pic>
      <xdr:nvPicPr>
        <xdr:cNvPr id="2" name="Picture 1">
          <a:extLst>
            <a:ext uri="{FF2B5EF4-FFF2-40B4-BE49-F238E27FC236}">
              <a16:creationId xmlns:a16="http://schemas.microsoft.com/office/drawing/2014/main" id="{3B11D6AF-ADF7-4EE5-B2ED-33ACDBD03A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30505"/>
          <a:ext cx="9231200" cy="1526382"/>
        </a:xfrm>
        <a:prstGeom prst="rect">
          <a:avLst/>
        </a:prstGeom>
      </xdr:spPr>
    </xdr:pic>
    <xdr:clientData/>
  </xdr:twoCellAnchor>
  <xdr:twoCellAnchor>
    <xdr:from>
      <xdr:col>2</xdr:col>
      <xdr:colOff>266699</xdr:colOff>
      <xdr:row>1</xdr:row>
      <xdr:rowOff>28575</xdr:rowOff>
    </xdr:from>
    <xdr:to>
      <xdr:col>11</xdr:col>
      <xdr:colOff>321468</xdr:colOff>
      <xdr:row>8</xdr:row>
      <xdr:rowOff>20002</xdr:rowOff>
    </xdr:to>
    <xdr:sp macro="" textlink="">
      <xdr:nvSpPr>
        <xdr:cNvPr id="3" name="TextBox 2">
          <a:extLst>
            <a:ext uri="{FF2B5EF4-FFF2-40B4-BE49-F238E27FC236}">
              <a16:creationId xmlns:a16="http://schemas.microsoft.com/office/drawing/2014/main" id="{1F7E2526-F395-41AB-9A18-A621994805BF}"/>
            </a:ext>
          </a:extLst>
        </xdr:cNvPr>
        <xdr:cNvSpPr txBox="1"/>
      </xdr:nvSpPr>
      <xdr:spPr>
        <a:xfrm>
          <a:off x="1481137" y="219075"/>
          <a:ext cx="5519737" cy="1324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lang="en-US" sz="2800" b="1">
              <a:solidFill>
                <a:srgbClr val="225480"/>
              </a:solidFill>
            </a:rPr>
            <a:t>PIC Feeding</a:t>
          </a:r>
          <a:r>
            <a:rPr lang="en-US" sz="2800" b="1" baseline="0">
              <a:solidFill>
                <a:srgbClr val="225480"/>
              </a:solidFill>
            </a:rPr>
            <a:t> Levels for </a:t>
          </a:r>
        </a:p>
        <a:p>
          <a:pPr algn="l"/>
          <a:r>
            <a:rPr lang="en-US" sz="2800" b="1" baseline="0">
              <a:solidFill>
                <a:srgbClr val="225480"/>
              </a:solidFill>
            </a:rPr>
            <a:t>Maternal Females</a:t>
          </a:r>
          <a:endParaRPr lang="en-US" sz="2800" b="1">
            <a:solidFill>
              <a:srgbClr val="225480"/>
            </a:solidFill>
          </a:endParaRPr>
        </a:p>
      </xdr:txBody>
    </xdr:sp>
    <xdr:clientData/>
  </xdr:twoCellAnchor>
  <xdr:twoCellAnchor>
    <xdr:from>
      <xdr:col>0</xdr:col>
      <xdr:colOff>552450</xdr:colOff>
      <xdr:row>12</xdr:row>
      <xdr:rowOff>57150</xdr:rowOff>
    </xdr:from>
    <xdr:to>
      <xdr:col>15</xdr:col>
      <xdr:colOff>66675</xdr:colOff>
      <xdr:row>50</xdr:row>
      <xdr:rowOff>76200</xdr:rowOff>
    </xdr:to>
    <xdr:sp macro="" textlink="">
      <xdr:nvSpPr>
        <xdr:cNvPr id="6" name="TextBox 5">
          <a:extLst>
            <a:ext uri="{FF2B5EF4-FFF2-40B4-BE49-F238E27FC236}">
              <a16:creationId xmlns:a16="http://schemas.microsoft.com/office/drawing/2014/main" id="{8FFCB36D-B753-404C-8DB8-47AED449CE61}"/>
            </a:ext>
          </a:extLst>
        </xdr:cNvPr>
        <xdr:cNvSpPr txBox="1"/>
      </xdr:nvSpPr>
      <xdr:spPr>
        <a:xfrm>
          <a:off x="552450" y="2228850"/>
          <a:ext cx="8658225" cy="6896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50" b="1"/>
            <a:t>Tool features:</a:t>
          </a:r>
        </a:p>
        <a:p>
          <a:endParaRPr lang="en-US" sz="1350">
            <a:solidFill>
              <a:schemeClr val="dk1"/>
            </a:solidFill>
            <a:latin typeface="+mn-lt"/>
            <a:ea typeface="+mn-ea"/>
            <a:cs typeface="+mn-cs"/>
          </a:endParaRPr>
        </a:p>
        <a:p>
          <a:r>
            <a:rPr lang="en-US" sz="1350">
              <a:solidFill>
                <a:schemeClr val="dk1"/>
              </a:solidFill>
              <a:latin typeface="+mn-lt"/>
              <a:ea typeface="+mn-ea"/>
              <a:cs typeface="+mn-cs"/>
            </a:rPr>
            <a:t>          This tool is designed to calculate the recommended feeding levels categorized by body condition score for PIC </a:t>
          </a:r>
          <a:r>
            <a:rPr lang="en-US" sz="1350">
              <a:solidFill>
                <a:schemeClr val="tx1"/>
              </a:solidFill>
            </a:rPr>
            <a:t>maternal dams during gestation. The calculations are based on the user-defined energy level of the gestation diet</a:t>
          </a:r>
          <a:r>
            <a:rPr lang="en-US" sz="1350" baseline="0">
              <a:solidFill>
                <a:schemeClr val="tx1"/>
              </a:solidFill>
            </a:rPr>
            <a:t> </a:t>
          </a:r>
          <a:r>
            <a:rPr lang="en-US" sz="1350"/>
            <a:t>and the recommended ME intake per day. The tool also provides</a:t>
          </a:r>
          <a:r>
            <a:rPr lang="en-US" sz="1350" baseline="0"/>
            <a:t> the </a:t>
          </a:r>
          <a:r>
            <a:rPr lang="en-US" sz="1350"/>
            <a:t>minimum daily feed allocation for maintenance, which is especially critical during the</a:t>
          </a:r>
          <a:r>
            <a:rPr lang="en-US" sz="1350" baseline="0"/>
            <a:t> first 30 days of gestation. Feeding below maintenance leads to increased embryonic losses. </a:t>
          </a:r>
          <a:r>
            <a:rPr lang="en-US" sz="1350"/>
            <a:t>An option to estimate body weight using flank measurement is available in the appendix table.</a:t>
          </a:r>
        </a:p>
        <a:p>
          <a:endParaRPr lang="en-US" sz="1350"/>
        </a:p>
        <a:p>
          <a:endParaRPr lang="en-US" sz="1350"/>
        </a:p>
        <a:p>
          <a:r>
            <a:rPr lang="en-US" sz="1350" b="1"/>
            <a:t>Steps to use:</a:t>
          </a:r>
        </a:p>
        <a:p>
          <a:endParaRPr lang="en-US" sz="1350"/>
        </a:p>
        <a:p>
          <a:r>
            <a:rPr lang="en-US" sz="1350"/>
            <a:t>1. This version is designed for</a:t>
          </a:r>
          <a:r>
            <a:rPr lang="en-US" sz="1350" baseline="0"/>
            <a:t> imperial</a:t>
          </a:r>
          <a:r>
            <a:rPr lang="en-US" sz="1350"/>
            <a:t> system; the metric version is available</a:t>
          </a:r>
          <a:r>
            <a:rPr lang="en-US" sz="1350" baseline="0"/>
            <a:t> </a:t>
          </a:r>
          <a:r>
            <a:rPr lang="en-US" sz="1350"/>
            <a:t>separately.</a:t>
          </a:r>
        </a:p>
        <a:p>
          <a:r>
            <a:rPr lang="en-US" sz="1350"/>
            <a:t>2. Enter the input parameters in the yellow cells: </a:t>
          </a:r>
        </a:p>
        <a:p>
          <a:r>
            <a:rPr lang="en-US" sz="1350"/>
            <a:t>	a. Set the energy system (i.e. ME or NE) and the dietary energy level of</a:t>
          </a:r>
          <a:r>
            <a:rPr lang="en-US" sz="1350" baseline="0"/>
            <a:t> </a:t>
          </a:r>
          <a:r>
            <a:rPr lang="en-US" sz="1350"/>
            <a:t>the gestation diet. The tool works 	using ME. Net energy is converted to ME based on dietary NDF (i.e. 74.5%</a:t>
          </a:r>
          <a:r>
            <a:rPr lang="en-US" sz="1350" baseline="0"/>
            <a:t> </a:t>
          </a:r>
          <a:r>
            <a:rPr lang="en-US" sz="1350"/>
            <a:t>for NDF &gt;12% and 76.0% for NDF 	&lt;12%).  	</a:t>
          </a:r>
        </a:p>
        <a:p>
          <a:endParaRPr lang="en-US" sz="1350"/>
        </a:p>
        <a:p>
          <a:r>
            <a:rPr lang="en-US" sz="1350" b="1"/>
            <a:t>Outputs:</a:t>
          </a:r>
        </a:p>
        <a:p>
          <a:endParaRPr lang="en-US" sz="1350">
            <a:solidFill>
              <a:schemeClr val="dk1"/>
            </a:solidFill>
            <a:latin typeface="+mn-lt"/>
            <a:ea typeface="+mn-ea"/>
            <a:cs typeface="+mn-cs"/>
          </a:endParaRPr>
        </a:p>
        <a:p>
          <a:r>
            <a:rPr lang="en-US" sz="1350" b="1">
              <a:solidFill>
                <a:schemeClr val="dk1"/>
              </a:solidFill>
              <a:latin typeface="+mn-lt"/>
              <a:ea typeface="+mn-ea"/>
              <a:cs typeface="+mn-cs"/>
            </a:rPr>
            <a:t>Table 1. </a:t>
          </a:r>
          <a:r>
            <a:rPr lang="en-US" sz="1350">
              <a:solidFill>
                <a:schemeClr val="dk1"/>
              </a:solidFill>
              <a:latin typeface="+mn-lt"/>
              <a:ea typeface="+mn-ea"/>
              <a:cs typeface="+mn-cs"/>
            </a:rPr>
            <a:t>The table presents the recommended feeding levels</a:t>
          </a:r>
          <a:r>
            <a:rPr lang="en-US" sz="1350" baseline="0">
              <a:solidFill>
                <a:schemeClr val="dk1"/>
              </a:solidFill>
              <a:latin typeface="+mn-lt"/>
              <a:ea typeface="+mn-ea"/>
              <a:cs typeface="+mn-cs"/>
            </a:rPr>
            <a:t> based </a:t>
          </a:r>
          <a:r>
            <a:rPr lang="en-US" sz="1350">
              <a:solidFill>
                <a:schemeClr val="dk1"/>
              </a:solidFill>
              <a:latin typeface="+mn-lt"/>
              <a:ea typeface="+mn-ea"/>
              <a:cs typeface="+mn-cs"/>
            </a:rPr>
            <a:t>on body condition score which</a:t>
          </a:r>
          <a:r>
            <a:rPr lang="en-US" sz="1350" baseline="0">
              <a:solidFill>
                <a:schemeClr val="dk1"/>
              </a:solidFill>
              <a:latin typeface="+mn-lt"/>
              <a:ea typeface="+mn-ea"/>
              <a:cs typeface="+mn-cs"/>
            </a:rPr>
            <a:t> is </a:t>
          </a:r>
          <a:r>
            <a:rPr lang="en-US" sz="1350">
              <a:solidFill>
                <a:schemeClr val="dk1"/>
              </a:solidFill>
              <a:latin typeface="+mn-lt"/>
              <a:ea typeface="+mn-ea"/>
              <a:cs typeface="+mn-cs"/>
            </a:rPr>
            <a:t>determined by using the sow caliper. Feed intake is calculated from the recommended </a:t>
          </a:r>
          <a:r>
            <a:rPr lang="en-US" sz="1350"/>
            <a:t>ME intake per day and diet energy level</a:t>
          </a:r>
          <a:r>
            <a:rPr lang="en-US" sz="1350" baseline="0"/>
            <a:t>. This table does not take body weight into account. </a:t>
          </a:r>
        </a:p>
        <a:p>
          <a:endParaRPr lang="en-US" sz="1350"/>
        </a:p>
        <a:p>
          <a:r>
            <a:rPr lang="en-US" sz="1350" b="1"/>
            <a:t>Table 2. </a:t>
          </a:r>
          <a:r>
            <a:rPr lang="en-US" sz="1350" b="0"/>
            <a:t>This table provides the estimated body</a:t>
          </a:r>
          <a:r>
            <a:rPr lang="en-US" sz="1350" b="0" baseline="0"/>
            <a:t> weight of gilts and sows at breeding given flank measurements, and correspondingly the minimum feed intake. Flank measurements and body weights are presented in a range. The minimum feed intake is calculated based on the upper weight in each range. For specific measurements, users can use the appendix 1.</a:t>
          </a:r>
        </a:p>
        <a:p>
          <a:endParaRPr lang="en-US" sz="1350"/>
        </a:p>
        <a:p>
          <a:endParaRPr lang="en-US" sz="1350"/>
        </a:p>
        <a:p>
          <a:r>
            <a:rPr lang="en-US" sz="1350" b="1"/>
            <a:t>For questions on this tool please contact the PIC Nutrition Team.</a:t>
          </a:r>
        </a:p>
        <a:p>
          <a:endParaRPr lang="en-US" sz="1350"/>
        </a:p>
        <a:p>
          <a:endParaRPr lang="en-US" sz="1350"/>
        </a:p>
        <a:p>
          <a:endParaRPr lang="en-US" sz="135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178594</xdr:colOff>
      <xdr:row>0</xdr:row>
      <xdr:rowOff>47624</xdr:rowOff>
    </xdr:from>
    <xdr:to>
      <xdr:col>5</xdr:col>
      <xdr:colOff>0</xdr:colOff>
      <xdr:row>4</xdr:row>
      <xdr:rowOff>188282</xdr:rowOff>
    </xdr:to>
    <xdr:pic>
      <xdr:nvPicPr>
        <xdr:cNvPr id="5" name="Picture 4">
          <a:extLst>
            <a:ext uri="{FF2B5EF4-FFF2-40B4-BE49-F238E27FC236}">
              <a16:creationId xmlns:a16="http://schemas.microsoft.com/office/drawing/2014/main" id="{DAD56BA3-84BA-495B-8B3E-0235396956E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8594" y="47624"/>
          <a:ext cx="8882062" cy="1521783"/>
        </a:xfrm>
        <a:prstGeom prst="rect">
          <a:avLst/>
        </a:prstGeom>
      </xdr:spPr>
    </xdr:pic>
    <xdr:clientData/>
  </xdr:twoCellAnchor>
  <xdr:twoCellAnchor>
    <xdr:from>
      <xdr:col>1</xdr:col>
      <xdr:colOff>930273</xdr:colOff>
      <xdr:row>0</xdr:row>
      <xdr:rowOff>88104</xdr:rowOff>
    </xdr:from>
    <xdr:to>
      <xdr:col>3</xdr:col>
      <xdr:colOff>809624</xdr:colOff>
      <xdr:row>3</xdr:row>
      <xdr:rowOff>333372</xdr:rowOff>
    </xdr:to>
    <xdr:sp macro="" textlink="">
      <xdr:nvSpPr>
        <xdr:cNvPr id="6" name="TextBox 5">
          <a:extLst>
            <a:ext uri="{FF2B5EF4-FFF2-40B4-BE49-F238E27FC236}">
              <a16:creationId xmlns:a16="http://schemas.microsoft.com/office/drawing/2014/main" id="{B78A0131-E013-47AD-BF96-2D90F293A6C6}"/>
            </a:ext>
          </a:extLst>
        </xdr:cNvPr>
        <xdr:cNvSpPr txBox="1"/>
      </xdr:nvSpPr>
      <xdr:spPr>
        <a:xfrm>
          <a:off x="1525586" y="88104"/>
          <a:ext cx="5141913" cy="1281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lang="en-US" sz="2800" b="1">
              <a:solidFill>
                <a:srgbClr val="225480"/>
              </a:solidFill>
            </a:rPr>
            <a:t>PIC Feeding Levels for Maternal Females</a:t>
          </a:r>
        </a:p>
      </xdr:txBody>
    </xdr:sp>
    <xdr:clientData/>
  </xdr:twoCellAnchor>
  <xdr:twoCellAnchor>
    <xdr:from>
      <xdr:col>10</xdr:col>
      <xdr:colOff>916782</xdr:colOff>
      <xdr:row>43</xdr:row>
      <xdr:rowOff>107156</xdr:rowOff>
    </xdr:from>
    <xdr:to>
      <xdr:col>12</xdr:col>
      <xdr:colOff>298370</xdr:colOff>
      <xdr:row>46</xdr:row>
      <xdr:rowOff>80180</xdr:rowOff>
    </xdr:to>
    <xdr:grpSp>
      <xdr:nvGrpSpPr>
        <xdr:cNvPr id="8" name="Group 7">
          <a:extLst>
            <a:ext uri="{FF2B5EF4-FFF2-40B4-BE49-F238E27FC236}">
              <a16:creationId xmlns:a16="http://schemas.microsoft.com/office/drawing/2014/main" id="{8D03A4A0-F920-415F-88FD-4A2E945A78AB}"/>
            </a:ext>
          </a:extLst>
        </xdr:cNvPr>
        <xdr:cNvGrpSpPr/>
      </xdr:nvGrpSpPr>
      <xdr:grpSpPr>
        <a:xfrm>
          <a:off x="18720688" y="4258235"/>
          <a:ext cx="2250294" cy="0"/>
          <a:chOff x="19594285" y="4381500"/>
          <a:chExt cx="2177143" cy="1102180"/>
        </a:xfrm>
      </xdr:grpSpPr>
      <xdr:sp macro="" textlink="">
        <xdr:nvSpPr>
          <xdr:cNvPr id="9" name="TextBox 8">
            <a:extLst>
              <a:ext uri="{FF2B5EF4-FFF2-40B4-BE49-F238E27FC236}">
                <a16:creationId xmlns:a16="http://schemas.microsoft.com/office/drawing/2014/main" id="{056A4F54-26E6-49A1-B77A-33C929BC599B}"/>
              </a:ext>
            </a:extLst>
          </xdr:cNvPr>
          <xdr:cNvSpPr txBox="1"/>
        </xdr:nvSpPr>
        <xdr:spPr>
          <a:xfrm>
            <a:off x="19594285" y="4789714"/>
            <a:ext cx="2177143"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800" b="1">
                <a:solidFill>
                  <a:srgbClr val="FF0000"/>
                </a:solidFill>
              </a:rPr>
              <a:t>Feeding Lactation diet</a:t>
            </a:r>
          </a:p>
        </xdr:txBody>
      </xdr:sp>
      <xdr:sp macro="" textlink="">
        <xdr:nvSpPr>
          <xdr:cNvPr id="10" name="Arrow: Up 9">
            <a:extLst>
              <a:ext uri="{FF2B5EF4-FFF2-40B4-BE49-F238E27FC236}">
                <a16:creationId xmlns:a16="http://schemas.microsoft.com/office/drawing/2014/main" id="{17B9D110-94F3-414E-8903-9E92B90C22F5}"/>
              </a:ext>
            </a:extLst>
          </xdr:cNvPr>
          <xdr:cNvSpPr/>
        </xdr:nvSpPr>
        <xdr:spPr>
          <a:xfrm>
            <a:off x="20546785" y="4381500"/>
            <a:ext cx="231322" cy="39460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xdr:from>
      <xdr:col>6</xdr:col>
      <xdr:colOff>498019</xdr:colOff>
      <xdr:row>0</xdr:row>
      <xdr:rowOff>181314</xdr:rowOff>
    </xdr:from>
    <xdr:to>
      <xdr:col>12</xdr:col>
      <xdr:colOff>73476</xdr:colOff>
      <xdr:row>54</xdr:row>
      <xdr:rowOff>76200</xdr:rowOff>
    </xdr:to>
    <xdr:graphicFrame macro="">
      <xdr:nvGraphicFramePr>
        <xdr:cNvPr id="7" name="Chart 6">
          <a:extLst>
            <a:ext uri="{FF2B5EF4-FFF2-40B4-BE49-F238E27FC236}">
              <a16:creationId xmlns:a16="http://schemas.microsoft.com/office/drawing/2014/main" id="{FB2C77EB-0B82-4A94-9C26-C7CBFA445C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1452799</xdr:colOff>
      <xdr:row>81</xdr:row>
      <xdr:rowOff>195943</xdr:rowOff>
    </xdr:from>
    <xdr:to>
      <xdr:col>11</xdr:col>
      <xdr:colOff>154180</xdr:colOff>
      <xdr:row>98</xdr:row>
      <xdr:rowOff>83449</xdr:rowOff>
    </xdr:to>
    <xdr:grpSp>
      <xdr:nvGrpSpPr>
        <xdr:cNvPr id="13" name="Group 12">
          <a:extLst>
            <a:ext uri="{FF2B5EF4-FFF2-40B4-BE49-F238E27FC236}">
              <a16:creationId xmlns:a16="http://schemas.microsoft.com/office/drawing/2014/main" id="{C3F5C67E-0ADE-40B1-8737-2BD0EF982767}"/>
            </a:ext>
          </a:extLst>
        </xdr:cNvPr>
        <xdr:cNvGrpSpPr/>
      </xdr:nvGrpSpPr>
      <xdr:grpSpPr>
        <a:xfrm>
          <a:off x="11771175" y="9035143"/>
          <a:ext cx="7621264" cy="3840941"/>
          <a:chOff x="11528612" y="9986683"/>
          <a:chExt cx="7611034" cy="3917575"/>
        </a:xfrm>
      </xdr:grpSpPr>
      <xdr:grpSp>
        <xdr:nvGrpSpPr>
          <xdr:cNvPr id="14" name="Group 13">
            <a:hlinkClick xmlns:r="http://schemas.openxmlformats.org/officeDocument/2006/relationships" r:id="rId3"/>
            <a:extLst>
              <a:ext uri="{FF2B5EF4-FFF2-40B4-BE49-F238E27FC236}">
                <a16:creationId xmlns:a16="http://schemas.microsoft.com/office/drawing/2014/main" id="{40A6E784-22E4-46DC-AB98-DBC410D233FB}"/>
              </a:ext>
            </a:extLst>
          </xdr:cNvPr>
          <xdr:cNvGrpSpPr/>
        </xdr:nvGrpSpPr>
        <xdr:grpSpPr>
          <a:xfrm>
            <a:off x="11609293" y="9986683"/>
            <a:ext cx="7530353" cy="3236258"/>
            <a:chOff x="1520318" y="3142581"/>
            <a:chExt cx="6778422" cy="3378543"/>
          </a:xfrm>
        </xdr:grpSpPr>
        <xdr:pic>
          <xdr:nvPicPr>
            <xdr:cNvPr id="16" name="Picture 15">
              <a:extLst>
                <a:ext uri="{FF2B5EF4-FFF2-40B4-BE49-F238E27FC236}">
                  <a16:creationId xmlns:a16="http://schemas.microsoft.com/office/drawing/2014/main" id="{FFB65E44-2736-4B90-B1F0-35598E9F0FE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34944" y="3142581"/>
              <a:ext cx="5857756" cy="3092832"/>
            </a:xfrm>
            <a:prstGeom prst="rect">
              <a:avLst/>
            </a:prstGeom>
            <a:ln>
              <a:noFill/>
            </a:ln>
          </xdr:spPr>
        </xdr:pic>
        <xdr:sp macro="" textlink="">
          <xdr:nvSpPr>
            <xdr:cNvPr id="17" name="Title 1">
              <a:extLst>
                <a:ext uri="{FF2B5EF4-FFF2-40B4-BE49-F238E27FC236}">
                  <a16:creationId xmlns:a16="http://schemas.microsoft.com/office/drawing/2014/main" id="{FF1C1A2F-7328-4AB0-A53F-3B6C84E9B2F8}"/>
                </a:ext>
              </a:extLst>
            </xdr:cNvPr>
            <xdr:cNvSpPr txBox="1">
              <a:spLocks/>
            </xdr:cNvSpPr>
          </xdr:nvSpPr>
          <xdr:spPr>
            <a:xfrm>
              <a:off x="1520318" y="6089289"/>
              <a:ext cx="2607975" cy="429816"/>
            </a:xfrm>
            <a:prstGeom prst="rect">
              <a:avLst/>
            </a:prstGeom>
            <a:ln>
              <a:noFill/>
            </a:ln>
          </xdr:spPr>
          <xdr:txBody>
            <a:bodyPr vert="horz" wrap="square" lIns="68580" tIns="34290" rIns="68580" bIns="34290"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800" b="1">
                  <a:solidFill>
                    <a:srgbClr val="009900"/>
                  </a:solidFill>
                </a:rPr>
                <a:t>None at farrowing</a:t>
              </a:r>
            </a:p>
          </xdr:txBody>
        </xdr:sp>
        <xdr:sp macro="" textlink="">
          <xdr:nvSpPr>
            <xdr:cNvPr id="18" name="Title 1">
              <a:extLst>
                <a:ext uri="{FF2B5EF4-FFF2-40B4-BE49-F238E27FC236}">
                  <a16:creationId xmlns:a16="http://schemas.microsoft.com/office/drawing/2014/main" id="{18AB9AD7-89EF-480D-AE1B-B0221A5AFB18}"/>
                </a:ext>
              </a:extLst>
            </xdr:cNvPr>
            <xdr:cNvSpPr txBox="1">
              <a:spLocks/>
            </xdr:cNvSpPr>
          </xdr:nvSpPr>
          <xdr:spPr>
            <a:xfrm>
              <a:off x="5690765" y="6089289"/>
              <a:ext cx="2607975" cy="429816"/>
            </a:xfrm>
            <a:prstGeom prst="rect">
              <a:avLst/>
            </a:prstGeom>
            <a:ln>
              <a:noFill/>
            </a:ln>
          </xdr:spPr>
          <xdr:txBody>
            <a:bodyPr vert="horz" wrap="square" lIns="68580" tIns="34290" rIns="68580" bIns="34290"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800" b="1">
                  <a:solidFill>
                    <a:srgbClr val="FFC000"/>
                  </a:solidFill>
                </a:rPr>
                <a:t>None at weaning</a:t>
              </a:r>
            </a:p>
          </xdr:txBody>
        </xdr:sp>
        <xdr:sp macro="" textlink="">
          <xdr:nvSpPr>
            <xdr:cNvPr id="19" name="Title 1">
              <a:extLst>
                <a:ext uri="{FF2B5EF4-FFF2-40B4-BE49-F238E27FC236}">
                  <a16:creationId xmlns:a16="http://schemas.microsoft.com/office/drawing/2014/main" id="{8430F424-B69E-4D25-8588-0DAE2038EAEE}"/>
                </a:ext>
              </a:extLst>
            </xdr:cNvPr>
            <xdr:cNvSpPr txBox="1">
              <a:spLocks/>
            </xdr:cNvSpPr>
          </xdr:nvSpPr>
          <xdr:spPr>
            <a:xfrm>
              <a:off x="3497415" y="6091308"/>
              <a:ext cx="2732812" cy="429816"/>
            </a:xfrm>
            <a:prstGeom prst="rect">
              <a:avLst/>
            </a:prstGeom>
            <a:ln>
              <a:noFill/>
            </a:ln>
          </xdr:spPr>
          <xdr:txBody>
            <a:bodyPr vert="horz" wrap="square" lIns="68580" tIns="34290" rIns="68580" bIns="34290"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800" b="1">
                  <a:solidFill>
                    <a:srgbClr val="ED2724"/>
                  </a:solidFill>
                </a:rPr>
                <a:t>As many as possible</a:t>
              </a:r>
            </a:p>
          </xdr:txBody>
        </xdr:sp>
      </xdr:grpSp>
      <xdr:sp macro="" textlink="">
        <xdr:nvSpPr>
          <xdr:cNvPr id="15" name="TextBox 14">
            <a:extLst>
              <a:ext uri="{FF2B5EF4-FFF2-40B4-BE49-F238E27FC236}">
                <a16:creationId xmlns:a16="http://schemas.microsoft.com/office/drawing/2014/main" id="{6B068A3F-EC9F-4ED9-8BBC-3F3F0C1B5FF6}"/>
              </a:ext>
            </a:extLst>
          </xdr:cNvPr>
          <xdr:cNvSpPr txBox="1"/>
        </xdr:nvSpPr>
        <xdr:spPr>
          <a:xfrm>
            <a:off x="11528612" y="13438094"/>
            <a:ext cx="5325036" cy="4661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tx2"/>
                </a:solidFill>
              </a:rPr>
              <a:t>Fig</a:t>
            </a:r>
            <a:r>
              <a:rPr lang="en-US" sz="1400" b="1" baseline="0">
                <a:solidFill>
                  <a:schemeClr val="tx2"/>
                </a:solidFill>
              </a:rPr>
              <a:t>ure 2. Sow body condition measurement using a sow caliper</a:t>
            </a:r>
            <a:endParaRPr lang="en-US" sz="1400" b="1">
              <a:solidFill>
                <a:schemeClr val="tx2"/>
              </a:solidFill>
            </a:endParaRPr>
          </a:p>
        </xdr:txBody>
      </xdr:sp>
    </xdr:grpSp>
    <xdr:clientData/>
  </xdr:twoCellAnchor>
  <xdr:twoCellAnchor>
    <xdr:from>
      <xdr:col>6</xdr:col>
      <xdr:colOff>457203</xdr:colOff>
      <xdr:row>101</xdr:row>
      <xdr:rowOff>89737</xdr:rowOff>
    </xdr:from>
    <xdr:to>
      <xdr:col>11</xdr:col>
      <xdr:colOff>951534</xdr:colOff>
      <xdr:row>124</xdr:row>
      <xdr:rowOff>34497</xdr:rowOff>
    </xdr:to>
    <xdr:grpSp>
      <xdr:nvGrpSpPr>
        <xdr:cNvPr id="20" name="Group 19">
          <a:extLst>
            <a:ext uri="{FF2B5EF4-FFF2-40B4-BE49-F238E27FC236}">
              <a16:creationId xmlns:a16="http://schemas.microsoft.com/office/drawing/2014/main" id="{F237331E-3DF8-49A8-A59F-8CCCA1D157CD}"/>
            </a:ext>
          </a:extLst>
        </xdr:cNvPr>
        <xdr:cNvGrpSpPr/>
      </xdr:nvGrpSpPr>
      <xdr:grpSpPr>
        <a:xfrm>
          <a:off x="10273556" y="13420255"/>
          <a:ext cx="9916237" cy="4068524"/>
          <a:chOff x="10484222" y="15133683"/>
          <a:chExt cx="9938232" cy="4334968"/>
        </a:xfrm>
      </xdr:grpSpPr>
      <xdr:sp macro="" textlink="">
        <xdr:nvSpPr>
          <xdr:cNvPr id="21" name="TextBox 20">
            <a:extLst>
              <a:ext uri="{FF2B5EF4-FFF2-40B4-BE49-F238E27FC236}">
                <a16:creationId xmlns:a16="http://schemas.microsoft.com/office/drawing/2014/main" id="{470A30B5-E0B5-4FA8-965D-295330469238}"/>
              </a:ext>
            </a:extLst>
          </xdr:cNvPr>
          <xdr:cNvSpPr txBox="1"/>
        </xdr:nvSpPr>
        <xdr:spPr>
          <a:xfrm>
            <a:off x="10630348" y="18991729"/>
            <a:ext cx="5346551" cy="4769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tx2"/>
                </a:solidFill>
              </a:rPr>
              <a:t>Fig</a:t>
            </a:r>
            <a:r>
              <a:rPr lang="en-US" sz="1400" b="1" baseline="0">
                <a:solidFill>
                  <a:schemeClr val="tx2"/>
                </a:solidFill>
              </a:rPr>
              <a:t>ure 3. Critical time points to evaluate sow body condition</a:t>
            </a:r>
            <a:endParaRPr lang="en-US" sz="1400" b="1">
              <a:solidFill>
                <a:schemeClr val="tx2"/>
              </a:solidFill>
            </a:endParaRPr>
          </a:p>
        </xdr:txBody>
      </xdr:sp>
      <xdr:pic>
        <xdr:nvPicPr>
          <xdr:cNvPr id="22" name="Picture 21">
            <a:extLst>
              <a:ext uri="{FF2B5EF4-FFF2-40B4-BE49-F238E27FC236}">
                <a16:creationId xmlns:a16="http://schemas.microsoft.com/office/drawing/2014/main" id="{C57CD339-E0A6-4D99-8AB8-692ED3A25BD4}"/>
              </a:ext>
            </a:extLst>
          </xdr:cNvPr>
          <xdr:cNvPicPr>
            <a:picLocks noChangeAspect="1"/>
          </xdr:cNvPicPr>
        </xdr:nvPicPr>
        <xdr:blipFill>
          <a:blip xmlns:r="http://schemas.openxmlformats.org/officeDocument/2006/relationships" r:embed="rId5"/>
          <a:stretch>
            <a:fillRect/>
          </a:stretch>
        </xdr:blipFill>
        <xdr:spPr>
          <a:xfrm>
            <a:off x="10484222" y="15133683"/>
            <a:ext cx="9938232" cy="3733437"/>
          </a:xfrm>
          <a:prstGeom prst="rect">
            <a:avLst/>
          </a:prstGeom>
        </xdr:spPr>
      </xdr:pic>
    </xdr:grpSp>
    <xdr:clientData/>
  </xdr:twoCellAnchor>
  <xdr:twoCellAnchor>
    <xdr:from>
      <xdr:col>0</xdr:col>
      <xdr:colOff>582706</xdr:colOff>
      <xdr:row>91</xdr:row>
      <xdr:rowOff>62752</xdr:rowOff>
    </xdr:from>
    <xdr:to>
      <xdr:col>3</xdr:col>
      <xdr:colOff>52030</xdr:colOff>
      <xdr:row>93</xdr:row>
      <xdr:rowOff>71077</xdr:rowOff>
    </xdr:to>
    <xdr:sp macro="" textlink="">
      <xdr:nvSpPr>
        <xdr:cNvPr id="23" name="TextBox 22">
          <a:hlinkClick xmlns:r="http://schemas.openxmlformats.org/officeDocument/2006/relationships" r:id="rId6"/>
          <a:extLst>
            <a:ext uri="{FF2B5EF4-FFF2-40B4-BE49-F238E27FC236}">
              <a16:creationId xmlns:a16="http://schemas.microsoft.com/office/drawing/2014/main" id="{3C1E39C7-424E-4187-B5CD-1FD2643FAD60}"/>
            </a:ext>
          </a:extLst>
        </xdr:cNvPr>
        <xdr:cNvSpPr txBox="1"/>
      </xdr:nvSpPr>
      <xdr:spPr>
        <a:xfrm>
          <a:off x="582706" y="11591364"/>
          <a:ext cx="5493606" cy="3758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 Visit</a:t>
          </a:r>
          <a:r>
            <a:rPr lang="en-US" sz="1100" b="1" baseline="0"/>
            <a:t> </a:t>
          </a:r>
          <a:r>
            <a:rPr lang="en-US" sz="1100" b="1" u="sng">
              <a:solidFill>
                <a:srgbClr val="0000FF"/>
              </a:solidFill>
            </a:rPr>
            <a:t>http://dynamicfemalefeeding.pic.com/</a:t>
          </a:r>
          <a:r>
            <a:rPr lang="en-US" sz="1100" b="0" u="none" baseline="0">
              <a:solidFill>
                <a:srgbClr val="0000FF"/>
              </a:solidFill>
            </a:rPr>
            <a:t> </a:t>
          </a:r>
          <a:r>
            <a:rPr lang="en-US" sz="1100" b="1"/>
            <a:t>for detailed nutrient specifications</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0.80911</cdr:x>
      <cdr:y>0.86372</cdr:y>
    </cdr:from>
    <cdr:to>
      <cdr:x>1</cdr:x>
      <cdr:y>0.99455</cdr:y>
    </cdr:to>
    <cdr:sp macro="" textlink="">
      <cdr:nvSpPr>
        <cdr:cNvPr id="2" name="TextBox 1">
          <a:extLst xmlns:a="http://schemas.openxmlformats.org/drawingml/2006/main">
            <a:ext uri="{FF2B5EF4-FFF2-40B4-BE49-F238E27FC236}">
              <a16:creationId xmlns:a16="http://schemas.microsoft.com/office/drawing/2014/main" id="{036F2865-6089-4618-AD07-0890FF4E03FE}"/>
            </a:ext>
          </a:extLst>
        </cdr:cNvPr>
        <cdr:cNvSpPr txBox="1"/>
      </cdr:nvSpPr>
      <cdr:spPr>
        <a:xfrm xmlns:a="http://schemas.openxmlformats.org/drawingml/2006/main">
          <a:off x="8455475" y="5174458"/>
          <a:ext cx="1994810" cy="7837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400" b="1">
              <a:solidFill>
                <a:srgbClr val="FF0000"/>
              </a:solidFill>
            </a:rPr>
            <a:t>feed</a:t>
          </a:r>
          <a:r>
            <a:rPr lang="en-US" sz="1400" b="1" baseline="0">
              <a:solidFill>
                <a:srgbClr val="FF0000"/>
              </a:solidFill>
            </a:rPr>
            <a:t> the same level </a:t>
          </a:r>
        </a:p>
        <a:p xmlns:a="http://schemas.openxmlformats.org/drawingml/2006/main">
          <a:pPr algn="ctr"/>
          <a:r>
            <a:rPr lang="en-US" sz="1400" b="1" baseline="0">
              <a:solidFill>
                <a:srgbClr val="FF0000"/>
              </a:solidFill>
            </a:rPr>
            <a:t>as in gestation using lactation diet</a:t>
          </a:r>
          <a:endParaRPr lang="en-US" sz="1400" b="1">
            <a:solidFill>
              <a:srgbClr val="FF0000"/>
            </a:solidFill>
          </a:endParaRP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148592</xdr:colOff>
      <xdr:row>0</xdr:row>
      <xdr:rowOff>73342</xdr:rowOff>
    </xdr:from>
    <xdr:to>
      <xdr:col>5</xdr:col>
      <xdr:colOff>5287</xdr:colOff>
      <xdr:row>4</xdr:row>
      <xdr:rowOff>226219</xdr:rowOff>
    </xdr:to>
    <xdr:pic>
      <xdr:nvPicPr>
        <xdr:cNvPr id="7" name="Picture 6">
          <a:extLst>
            <a:ext uri="{FF2B5EF4-FFF2-40B4-BE49-F238E27FC236}">
              <a16:creationId xmlns:a16="http://schemas.microsoft.com/office/drawing/2014/main" id="{81D7E4F2-A4C5-47E0-B6EF-348098D45C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7" y="71437"/>
          <a:ext cx="9227278" cy="1517417"/>
        </a:xfrm>
        <a:prstGeom prst="rect">
          <a:avLst/>
        </a:prstGeom>
      </xdr:spPr>
    </xdr:pic>
    <xdr:clientData/>
  </xdr:twoCellAnchor>
  <xdr:twoCellAnchor editAs="absolute">
    <xdr:from>
      <xdr:col>1</xdr:col>
      <xdr:colOff>904081</xdr:colOff>
      <xdr:row>0</xdr:row>
      <xdr:rowOff>111917</xdr:rowOff>
    </xdr:from>
    <xdr:to>
      <xdr:col>3</xdr:col>
      <xdr:colOff>768192</xdr:colOff>
      <xdr:row>4</xdr:row>
      <xdr:rowOff>6189</xdr:rowOff>
    </xdr:to>
    <xdr:sp macro="" textlink="">
      <xdr:nvSpPr>
        <xdr:cNvPr id="9" name="TextBox 8">
          <a:extLst>
            <a:ext uri="{FF2B5EF4-FFF2-40B4-BE49-F238E27FC236}">
              <a16:creationId xmlns:a16="http://schemas.microsoft.com/office/drawing/2014/main" id="{15955D2C-C847-4CD2-9812-EF61CCCD4717}"/>
            </a:ext>
          </a:extLst>
        </xdr:cNvPr>
        <xdr:cNvSpPr txBox="1"/>
      </xdr:nvSpPr>
      <xdr:spPr>
        <a:xfrm>
          <a:off x="1489869" y="111917"/>
          <a:ext cx="5141913" cy="1281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l"/>
          <a:r>
            <a:rPr lang="en-US" sz="2800" b="1">
              <a:solidFill>
                <a:srgbClr val="225480"/>
              </a:solidFill>
            </a:rPr>
            <a:t>PIC Feeding Levels for Terminal Females</a:t>
          </a:r>
        </a:p>
      </xdr:txBody>
    </xdr:sp>
    <xdr:clientData/>
  </xdr:twoCellAnchor>
  <xdr:twoCellAnchor>
    <xdr:from>
      <xdr:col>9</xdr:col>
      <xdr:colOff>916781</xdr:colOff>
      <xdr:row>41</xdr:row>
      <xdr:rowOff>119063</xdr:rowOff>
    </xdr:from>
    <xdr:to>
      <xdr:col>11</xdr:col>
      <xdr:colOff>298368</xdr:colOff>
      <xdr:row>44</xdr:row>
      <xdr:rowOff>92087</xdr:rowOff>
    </xdr:to>
    <xdr:grpSp>
      <xdr:nvGrpSpPr>
        <xdr:cNvPr id="10" name="Group 9">
          <a:extLst>
            <a:ext uri="{FF2B5EF4-FFF2-40B4-BE49-F238E27FC236}">
              <a16:creationId xmlns:a16="http://schemas.microsoft.com/office/drawing/2014/main" id="{2900FB52-57A2-4BF1-AB54-807BC6F789EA}"/>
            </a:ext>
          </a:extLst>
        </xdr:cNvPr>
        <xdr:cNvGrpSpPr/>
      </xdr:nvGrpSpPr>
      <xdr:grpSpPr>
        <a:xfrm>
          <a:off x="18268610" y="4234543"/>
          <a:ext cx="2255415" cy="0"/>
          <a:chOff x="19594285" y="4381500"/>
          <a:chExt cx="2177143" cy="1102180"/>
        </a:xfrm>
      </xdr:grpSpPr>
      <xdr:sp macro="" textlink="">
        <xdr:nvSpPr>
          <xdr:cNvPr id="11" name="TextBox 10">
            <a:extLst>
              <a:ext uri="{FF2B5EF4-FFF2-40B4-BE49-F238E27FC236}">
                <a16:creationId xmlns:a16="http://schemas.microsoft.com/office/drawing/2014/main" id="{781408B3-F911-4EA6-A763-8A04D53456CD}"/>
              </a:ext>
            </a:extLst>
          </xdr:cNvPr>
          <xdr:cNvSpPr txBox="1"/>
        </xdr:nvSpPr>
        <xdr:spPr>
          <a:xfrm>
            <a:off x="19594285" y="4789714"/>
            <a:ext cx="2177143" cy="693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800" b="1">
                <a:solidFill>
                  <a:srgbClr val="FF0000"/>
                </a:solidFill>
              </a:rPr>
              <a:t>Feeding Lactation diet</a:t>
            </a:r>
          </a:p>
        </xdr:txBody>
      </xdr:sp>
      <xdr:sp macro="" textlink="">
        <xdr:nvSpPr>
          <xdr:cNvPr id="12" name="Arrow: Up 11">
            <a:extLst>
              <a:ext uri="{FF2B5EF4-FFF2-40B4-BE49-F238E27FC236}">
                <a16:creationId xmlns:a16="http://schemas.microsoft.com/office/drawing/2014/main" id="{67F023B7-930F-4186-BCB7-F00C209D3811}"/>
              </a:ext>
            </a:extLst>
          </xdr:cNvPr>
          <xdr:cNvSpPr/>
        </xdr:nvSpPr>
        <xdr:spPr>
          <a:xfrm>
            <a:off x="20546785" y="4381500"/>
            <a:ext cx="231322" cy="39460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xdr:from>
      <xdr:col>6</xdr:col>
      <xdr:colOff>109537</xdr:colOff>
      <xdr:row>4</xdr:row>
      <xdr:rowOff>152400</xdr:rowOff>
    </xdr:from>
    <xdr:to>
      <xdr:col>11</xdr:col>
      <xdr:colOff>166687</xdr:colOff>
      <xdr:row>59</xdr:row>
      <xdr:rowOff>97971</xdr:rowOff>
    </xdr:to>
    <xdr:grpSp>
      <xdr:nvGrpSpPr>
        <xdr:cNvPr id="2" name="Group 1">
          <a:extLst>
            <a:ext uri="{FF2B5EF4-FFF2-40B4-BE49-F238E27FC236}">
              <a16:creationId xmlns:a16="http://schemas.microsoft.com/office/drawing/2014/main" id="{862DDC33-FF37-4C58-B974-CA529C36137E}"/>
            </a:ext>
          </a:extLst>
        </xdr:cNvPr>
        <xdr:cNvGrpSpPr/>
      </xdr:nvGrpSpPr>
      <xdr:grpSpPr>
        <a:xfrm>
          <a:off x="9961108" y="1545771"/>
          <a:ext cx="10431236" cy="5649686"/>
          <a:chOff x="9688966" y="1672658"/>
          <a:chExt cx="10126435" cy="4901533"/>
        </a:xfrm>
      </xdr:grpSpPr>
      <xdr:graphicFrame macro="">
        <xdr:nvGraphicFramePr>
          <xdr:cNvPr id="8" name="Chart 7">
            <a:extLst>
              <a:ext uri="{FF2B5EF4-FFF2-40B4-BE49-F238E27FC236}">
                <a16:creationId xmlns:a16="http://schemas.microsoft.com/office/drawing/2014/main" id="{EC83EEF9-0076-4E2A-83AF-39117B65FA33}"/>
              </a:ext>
            </a:extLst>
          </xdr:cNvPr>
          <xdr:cNvGraphicFramePr>
            <a:graphicFrameLocks/>
          </xdr:cNvGraphicFramePr>
        </xdr:nvGraphicFramePr>
        <xdr:xfrm>
          <a:off x="9688966" y="1672658"/>
          <a:ext cx="10126435" cy="3835513"/>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3" name="TextBox 12">
            <a:extLst>
              <a:ext uri="{FF2B5EF4-FFF2-40B4-BE49-F238E27FC236}">
                <a16:creationId xmlns:a16="http://schemas.microsoft.com/office/drawing/2014/main" id="{B553C405-B075-4EDA-AF7E-904EBED39BB8}"/>
              </a:ext>
            </a:extLst>
          </xdr:cNvPr>
          <xdr:cNvSpPr txBox="1"/>
        </xdr:nvSpPr>
        <xdr:spPr>
          <a:xfrm>
            <a:off x="17648464" y="5921842"/>
            <a:ext cx="2157444" cy="652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800" b="1">
                <a:solidFill>
                  <a:srgbClr val="FF0000"/>
                </a:solidFill>
              </a:rPr>
              <a:t>Feeding Lactation diet</a:t>
            </a:r>
          </a:p>
        </xdr:txBody>
      </xdr:sp>
      <xdr:sp macro="" textlink="">
        <xdr:nvSpPr>
          <xdr:cNvPr id="14" name="Arrow: Up 13">
            <a:extLst>
              <a:ext uri="{FF2B5EF4-FFF2-40B4-BE49-F238E27FC236}">
                <a16:creationId xmlns:a16="http://schemas.microsoft.com/office/drawing/2014/main" id="{4F897593-CB19-41DB-8DCE-B2B7D69786B8}"/>
              </a:ext>
            </a:extLst>
          </xdr:cNvPr>
          <xdr:cNvSpPr/>
        </xdr:nvSpPr>
        <xdr:spPr>
          <a:xfrm>
            <a:off x="18592346" y="5538108"/>
            <a:ext cx="229229" cy="370944"/>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15</xdr:row>
      <xdr:rowOff>108584</xdr:rowOff>
    </xdr:from>
    <xdr:to>
      <xdr:col>11</xdr:col>
      <xdr:colOff>123825</xdr:colOff>
      <xdr:row>34</xdr:row>
      <xdr:rowOff>133349</xdr:rowOff>
    </xdr:to>
    <xdr:graphicFrame macro="">
      <xdr:nvGraphicFramePr>
        <xdr:cNvPr id="2" name="Chart 1">
          <a:extLst>
            <a:ext uri="{FF2B5EF4-FFF2-40B4-BE49-F238E27FC236}">
              <a16:creationId xmlns:a16="http://schemas.microsoft.com/office/drawing/2014/main" id="{0157E67F-2718-46C9-B120-12F80C44B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15</xdr:row>
      <xdr:rowOff>108584</xdr:rowOff>
    </xdr:from>
    <xdr:to>
      <xdr:col>11</xdr:col>
      <xdr:colOff>123825</xdr:colOff>
      <xdr:row>34</xdr:row>
      <xdr:rowOff>133349</xdr:rowOff>
    </xdr:to>
    <xdr:graphicFrame macro="">
      <xdr:nvGraphicFramePr>
        <xdr:cNvPr id="2" name="Chart 1">
          <a:extLst>
            <a:ext uri="{FF2B5EF4-FFF2-40B4-BE49-F238E27FC236}">
              <a16:creationId xmlns:a16="http://schemas.microsoft.com/office/drawing/2014/main" id="{E0749EB1-D828-40FF-B6A6-5EB56FC5D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D4727-8B4B-4DED-B074-3BF75738592A}">
  <dimension ref="B11:O48"/>
  <sheetViews>
    <sheetView showGridLines="0" view="pageBreakPreview" zoomScale="80" zoomScaleNormal="80" zoomScaleSheetLayoutView="80" workbookViewId="0">
      <selection activeCell="R24" sqref="R24"/>
    </sheetView>
  </sheetViews>
  <sheetFormatPr defaultRowHeight="14.4" x14ac:dyDescent="0.3"/>
  <sheetData>
    <row r="11" spans="2:15" x14ac:dyDescent="0.3">
      <c r="K11" s="142"/>
    </row>
    <row r="12" spans="2:15" ht="14.4" customHeight="1" x14ac:dyDescent="0.3">
      <c r="B12" s="143"/>
      <c r="C12" s="143"/>
      <c r="D12" s="143"/>
      <c r="E12" s="143"/>
      <c r="F12" s="143"/>
      <c r="G12" s="143"/>
      <c r="H12" s="143"/>
      <c r="I12" s="143"/>
      <c r="J12" s="143"/>
      <c r="K12" s="143"/>
      <c r="L12" s="143"/>
      <c r="M12" s="143"/>
      <c r="N12" s="143"/>
      <c r="O12" s="143"/>
    </row>
    <row r="13" spans="2:15" ht="14.4" customHeight="1" x14ac:dyDescent="0.3">
      <c r="B13" s="143"/>
      <c r="C13" s="143"/>
      <c r="D13" s="143"/>
      <c r="E13" s="143"/>
      <c r="F13" s="143"/>
      <c r="G13" s="143"/>
      <c r="H13" s="143"/>
      <c r="I13" s="143"/>
      <c r="J13" s="143"/>
      <c r="K13" s="143"/>
      <c r="L13" s="143"/>
      <c r="M13" s="143"/>
      <c r="N13" s="143"/>
      <c r="O13" s="143"/>
    </row>
    <row r="14" spans="2:15" ht="14.4" customHeight="1" x14ac:dyDescent="0.3">
      <c r="B14" s="143"/>
      <c r="C14" s="143"/>
      <c r="D14" s="143"/>
      <c r="E14" s="143"/>
      <c r="F14" s="143"/>
      <c r="G14" s="143"/>
      <c r="H14" s="143"/>
      <c r="I14" s="143"/>
      <c r="J14" s="143"/>
      <c r="K14" s="143"/>
      <c r="L14" s="143"/>
      <c r="M14" s="143"/>
      <c r="N14" s="143"/>
      <c r="O14" s="143"/>
    </row>
    <row r="15" spans="2:15" ht="14.4" customHeight="1" x14ac:dyDescent="0.3">
      <c r="B15" s="143"/>
      <c r="C15" s="143"/>
      <c r="D15" s="143"/>
      <c r="E15" s="143"/>
      <c r="F15" s="143"/>
      <c r="G15" s="143"/>
      <c r="H15" s="143"/>
      <c r="I15" s="143"/>
      <c r="J15" s="143"/>
      <c r="K15" s="143"/>
      <c r="L15" s="143"/>
      <c r="M15" s="143"/>
      <c r="N15" s="143"/>
      <c r="O15" s="143"/>
    </row>
    <row r="16" spans="2:15" ht="14.4" customHeight="1" x14ac:dyDescent="0.3">
      <c r="B16" s="143"/>
      <c r="C16" s="143"/>
      <c r="D16" s="143"/>
      <c r="E16" s="143"/>
      <c r="F16" s="143"/>
      <c r="G16" s="143"/>
      <c r="H16" s="143"/>
      <c r="I16" s="143"/>
      <c r="J16" s="143"/>
      <c r="K16" s="143"/>
      <c r="L16" s="143"/>
      <c r="M16" s="143"/>
      <c r="N16" s="143"/>
      <c r="O16" s="143"/>
    </row>
    <row r="17" spans="2:15" ht="14.4" customHeight="1" x14ac:dyDescent="0.3">
      <c r="B17" s="143"/>
      <c r="C17" s="143"/>
      <c r="D17" s="143"/>
      <c r="E17" s="143"/>
      <c r="F17" s="143"/>
      <c r="G17" s="143"/>
      <c r="H17" s="143"/>
      <c r="I17" s="143"/>
      <c r="J17" s="143"/>
      <c r="K17" s="143"/>
      <c r="L17" s="143"/>
      <c r="M17" s="143"/>
      <c r="N17" s="143"/>
      <c r="O17" s="143"/>
    </row>
    <row r="18" spans="2:15" ht="14.4" customHeight="1" x14ac:dyDescent="0.3">
      <c r="B18" s="143"/>
      <c r="C18" s="143"/>
      <c r="D18" s="143"/>
      <c r="E18" s="143"/>
      <c r="F18" s="143"/>
      <c r="G18" s="143"/>
      <c r="H18" s="143"/>
      <c r="I18" s="143"/>
      <c r="J18" s="143"/>
      <c r="K18" s="143"/>
      <c r="L18" s="143"/>
      <c r="M18" s="143"/>
      <c r="N18" s="143"/>
      <c r="O18" s="143"/>
    </row>
    <row r="19" spans="2:15" ht="14.4" customHeight="1" x14ac:dyDescent="0.3">
      <c r="B19" s="143"/>
      <c r="C19" s="143"/>
      <c r="D19" s="143"/>
      <c r="E19" s="143"/>
      <c r="F19" s="143"/>
      <c r="G19" s="143"/>
      <c r="H19" s="143"/>
      <c r="I19" s="143"/>
      <c r="J19" s="143"/>
      <c r="K19" s="143"/>
      <c r="L19" s="143"/>
      <c r="M19" s="143"/>
      <c r="N19" s="143"/>
      <c r="O19" s="143"/>
    </row>
    <row r="20" spans="2:15" ht="14.4" customHeight="1" x14ac:dyDescent="0.3">
      <c r="B20" s="143"/>
      <c r="C20" s="143"/>
      <c r="D20" s="143"/>
      <c r="E20" s="143"/>
      <c r="F20" s="143"/>
      <c r="G20" s="143"/>
      <c r="H20" s="143"/>
      <c r="I20" s="143"/>
      <c r="J20" s="143"/>
      <c r="K20" s="143"/>
      <c r="L20" s="143"/>
      <c r="M20" s="143"/>
      <c r="N20" s="143"/>
      <c r="O20" s="143"/>
    </row>
    <row r="21" spans="2:15" ht="14.4" customHeight="1" x14ac:dyDescent="0.3">
      <c r="B21" s="143"/>
      <c r="C21" s="143"/>
      <c r="D21" s="143"/>
      <c r="E21" s="143"/>
      <c r="F21" s="143"/>
      <c r="G21" s="143"/>
      <c r="H21" s="143"/>
      <c r="I21" s="143"/>
      <c r="J21" s="143"/>
      <c r="K21" s="143"/>
      <c r="L21" s="143"/>
      <c r="M21" s="143"/>
      <c r="N21" s="143"/>
      <c r="O21" s="143"/>
    </row>
    <row r="22" spans="2:15" ht="14.4" customHeight="1" x14ac:dyDescent="0.3">
      <c r="B22" s="143"/>
      <c r="C22" s="143"/>
      <c r="D22" s="143"/>
      <c r="E22" s="143"/>
      <c r="F22" s="143"/>
      <c r="G22" s="143"/>
      <c r="H22" s="143"/>
      <c r="I22" s="143"/>
      <c r="J22" s="143"/>
      <c r="K22" s="143"/>
      <c r="L22" s="143"/>
      <c r="M22" s="143"/>
      <c r="N22" s="143"/>
      <c r="O22" s="143"/>
    </row>
    <row r="23" spans="2:15" ht="14.4" customHeight="1" x14ac:dyDescent="0.3">
      <c r="B23" s="143"/>
      <c r="C23" s="143"/>
      <c r="D23" s="143"/>
      <c r="E23" s="143"/>
      <c r="F23" s="143"/>
      <c r="G23" s="143"/>
      <c r="H23" s="143"/>
      <c r="I23" s="143"/>
      <c r="J23" s="143"/>
      <c r="K23" s="143"/>
      <c r="L23" s="143"/>
      <c r="M23" s="143"/>
      <c r="N23" s="143"/>
      <c r="O23" s="143"/>
    </row>
    <row r="24" spans="2:15" ht="14.4" customHeight="1" x14ac:dyDescent="0.3">
      <c r="B24" s="143"/>
      <c r="C24" s="143"/>
      <c r="D24" s="143"/>
      <c r="E24" s="143"/>
      <c r="F24" s="143"/>
      <c r="G24" s="143"/>
      <c r="H24" s="143"/>
      <c r="I24" s="143"/>
      <c r="J24" s="143"/>
      <c r="K24" s="143"/>
      <c r="L24" s="143"/>
      <c r="M24" s="143"/>
      <c r="N24" s="143"/>
      <c r="O24" s="143"/>
    </row>
    <row r="25" spans="2:15" ht="14.4" customHeight="1" x14ac:dyDescent="0.3">
      <c r="B25" s="143"/>
      <c r="C25" s="143"/>
      <c r="D25" s="143"/>
      <c r="E25" s="143"/>
      <c r="F25" s="143"/>
      <c r="G25" s="143"/>
      <c r="H25" s="143"/>
      <c r="I25" s="143"/>
      <c r="J25" s="143"/>
      <c r="K25" s="143"/>
      <c r="L25" s="143"/>
      <c r="M25" s="143"/>
      <c r="N25" s="143"/>
      <c r="O25" s="143"/>
    </row>
    <row r="26" spans="2:15" s="144" customFormat="1" ht="14.4" customHeight="1" x14ac:dyDescent="0.35">
      <c r="B26" s="143"/>
      <c r="C26" s="143"/>
      <c r="D26" s="143"/>
      <c r="E26" s="143"/>
      <c r="F26" s="143"/>
      <c r="G26" s="143"/>
      <c r="H26" s="143"/>
      <c r="I26" s="143"/>
      <c r="J26" s="143"/>
      <c r="K26" s="143"/>
      <c r="L26" s="143"/>
      <c r="M26" s="143"/>
      <c r="N26" s="143"/>
      <c r="O26" s="143"/>
    </row>
    <row r="27" spans="2:15" ht="14.4" customHeight="1" x14ac:dyDescent="0.3">
      <c r="B27" s="143"/>
      <c r="C27" s="143"/>
      <c r="D27" s="143"/>
      <c r="E27" s="143"/>
      <c r="F27" s="143"/>
      <c r="G27" s="143"/>
      <c r="H27" s="143"/>
      <c r="I27" s="143"/>
      <c r="J27" s="143"/>
      <c r="K27" s="143"/>
      <c r="L27" s="143"/>
      <c r="M27" s="143"/>
      <c r="N27" s="143"/>
      <c r="O27" s="143"/>
    </row>
    <row r="28" spans="2:15" ht="14.4" customHeight="1" x14ac:dyDescent="0.3">
      <c r="B28" s="143"/>
      <c r="C28" s="143"/>
      <c r="D28" s="143"/>
      <c r="E28" s="143"/>
      <c r="F28" s="143"/>
      <c r="G28" s="143"/>
      <c r="H28" s="143"/>
      <c r="I28" s="143"/>
      <c r="J28" s="143"/>
      <c r="K28" s="143"/>
      <c r="L28" s="143"/>
      <c r="M28" s="143"/>
      <c r="N28" s="143"/>
      <c r="O28" s="143"/>
    </row>
    <row r="29" spans="2:15" ht="14.4" customHeight="1" x14ac:dyDescent="0.3">
      <c r="B29" s="143"/>
      <c r="C29" s="143"/>
      <c r="D29" s="143"/>
      <c r="E29" s="143"/>
      <c r="F29" s="143"/>
      <c r="G29" s="143"/>
      <c r="H29" s="143"/>
      <c r="I29" s="143"/>
      <c r="J29" s="143"/>
      <c r="K29" s="143"/>
      <c r="L29" s="143"/>
      <c r="M29" s="143"/>
      <c r="N29" s="143"/>
      <c r="O29" s="143"/>
    </row>
    <row r="30" spans="2:15" ht="14.4" customHeight="1" x14ac:dyDescent="0.3">
      <c r="B30" s="143"/>
      <c r="C30" s="143"/>
      <c r="D30" s="143"/>
      <c r="E30" s="143"/>
      <c r="F30" s="143"/>
      <c r="G30" s="143"/>
      <c r="H30" s="143"/>
      <c r="I30" s="143"/>
      <c r="J30" s="143"/>
      <c r="K30" s="143"/>
      <c r="L30" s="143"/>
      <c r="M30" s="143"/>
      <c r="N30" s="143"/>
      <c r="O30" s="143"/>
    </row>
    <row r="31" spans="2:15" ht="14.4" customHeight="1" x14ac:dyDescent="0.3">
      <c r="B31" s="143"/>
      <c r="C31" s="143"/>
      <c r="D31" s="143"/>
      <c r="E31" s="143"/>
      <c r="F31" s="143"/>
      <c r="G31" s="143"/>
      <c r="H31" s="143"/>
      <c r="I31" s="143"/>
      <c r="J31" s="143"/>
      <c r="K31" s="143"/>
      <c r="L31" s="143"/>
      <c r="M31" s="143"/>
      <c r="N31" s="143"/>
      <c r="O31" s="143"/>
    </row>
    <row r="32" spans="2:15" ht="14.4" customHeight="1" x14ac:dyDescent="0.3">
      <c r="B32" s="143"/>
      <c r="C32" s="143"/>
      <c r="D32" s="143"/>
      <c r="E32" s="143"/>
      <c r="F32" s="143"/>
      <c r="G32" s="143"/>
      <c r="H32" s="143"/>
      <c r="I32" s="143"/>
      <c r="J32" s="143"/>
      <c r="K32" s="143"/>
      <c r="L32" s="143"/>
      <c r="M32" s="143"/>
      <c r="N32" s="143"/>
      <c r="O32" s="143"/>
    </row>
    <row r="33" spans="2:15" ht="14.4" customHeight="1" x14ac:dyDescent="0.3">
      <c r="B33" s="143"/>
      <c r="C33" s="143"/>
      <c r="D33" s="143"/>
      <c r="E33" s="143"/>
      <c r="F33" s="143"/>
      <c r="G33" s="143"/>
      <c r="H33" s="143"/>
      <c r="I33" s="143"/>
      <c r="J33" s="143"/>
      <c r="K33" s="143"/>
      <c r="L33" s="143"/>
      <c r="M33" s="143"/>
      <c r="N33" s="143"/>
      <c r="O33" s="143"/>
    </row>
    <row r="34" spans="2:15" ht="14.4" customHeight="1" x14ac:dyDescent="0.3">
      <c r="B34" s="143"/>
      <c r="C34" s="143"/>
      <c r="D34" s="143"/>
      <c r="E34" s="143"/>
      <c r="F34" s="143"/>
      <c r="G34" s="143"/>
      <c r="H34" s="143"/>
      <c r="I34" s="143"/>
      <c r="J34" s="143"/>
      <c r="K34" s="143"/>
      <c r="L34" s="143"/>
      <c r="M34" s="143"/>
      <c r="N34" s="143"/>
      <c r="O34" s="143"/>
    </row>
    <row r="35" spans="2:15" ht="14.4" customHeight="1" x14ac:dyDescent="0.3">
      <c r="B35" s="143"/>
      <c r="C35" s="143"/>
      <c r="D35" s="143"/>
      <c r="E35" s="143"/>
      <c r="F35" s="143"/>
      <c r="G35" s="143"/>
      <c r="H35" s="143"/>
      <c r="I35" s="143"/>
      <c r="J35" s="143"/>
      <c r="K35" s="143"/>
      <c r="L35" s="143"/>
      <c r="M35" s="143"/>
      <c r="N35" s="143"/>
      <c r="O35" s="143"/>
    </row>
    <row r="36" spans="2:15" ht="14.4" customHeight="1" x14ac:dyDescent="0.3">
      <c r="B36" s="143"/>
      <c r="C36" s="143"/>
      <c r="D36" s="143"/>
      <c r="E36" s="143"/>
      <c r="F36" s="143"/>
      <c r="G36" s="143"/>
      <c r="H36" s="143"/>
      <c r="I36" s="143"/>
      <c r="J36" s="143"/>
      <c r="K36" s="143"/>
      <c r="L36" s="143"/>
      <c r="M36" s="143"/>
      <c r="N36" s="143"/>
      <c r="O36" s="143"/>
    </row>
    <row r="37" spans="2:15" ht="14.4" customHeight="1" x14ac:dyDescent="0.3">
      <c r="B37" s="143"/>
      <c r="C37" s="143"/>
      <c r="D37" s="143"/>
      <c r="E37" s="143"/>
      <c r="F37" s="143"/>
      <c r="G37" s="143"/>
      <c r="H37" s="143"/>
      <c r="I37" s="143"/>
      <c r="J37" s="143"/>
      <c r="K37" s="143"/>
      <c r="L37" s="143"/>
      <c r="M37" s="143"/>
      <c r="N37" s="143"/>
      <c r="O37" s="143"/>
    </row>
    <row r="38" spans="2:15" ht="14.4" customHeight="1" x14ac:dyDescent="0.3">
      <c r="B38" s="143"/>
      <c r="C38" s="143"/>
      <c r="D38" s="143"/>
      <c r="E38" s="143"/>
      <c r="F38" s="143"/>
      <c r="G38" s="143"/>
      <c r="H38" s="143"/>
      <c r="I38" s="143"/>
      <c r="J38" s="143"/>
      <c r="K38" s="143"/>
      <c r="L38" s="143"/>
      <c r="M38" s="143"/>
      <c r="N38" s="143"/>
      <c r="O38" s="143"/>
    </row>
    <row r="39" spans="2:15" ht="14.4" customHeight="1" x14ac:dyDescent="0.3">
      <c r="B39" s="143"/>
      <c r="C39" s="143"/>
      <c r="D39" s="143"/>
      <c r="E39" s="143"/>
      <c r="F39" s="143"/>
      <c r="G39" s="143"/>
      <c r="H39" s="143"/>
      <c r="I39" s="143"/>
      <c r="J39" s="143"/>
      <c r="K39" s="143"/>
      <c r="L39" s="143"/>
      <c r="M39" s="143"/>
      <c r="N39" s="143"/>
      <c r="O39" s="143"/>
    </row>
    <row r="40" spans="2:15" ht="14.4" customHeight="1" x14ac:dyDescent="0.3">
      <c r="B40" s="143"/>
      <c r="C40" s="143"/>
      <c r="D40" s="143"/>
      <c r="E40" s="143"/>
      <c r="F40" s="143"/>
      <c r="G40" s="143"/>
      <c r="H40" s="143"/>
      <c r="I40" s="143"/>
      <c r="J40" s="143"/>
      <c r="K40" s="143"/>
      <c r="L40" s="143"/>
      <c r="M40" s="143"/>
      <c r="N40" s="143"/>
      <c r="O40" s="143"/>
    </row>
    <row r="41" spans="2:15" ht="14.4" customHeight="1" x14ac:dyDescent="0.3">
      <c r="B41" s="143"/>
      <c r="C41" s="143"/>
      <c r="D41" s="143"/>
      <c r="E41" s="143"/>
      <c r="F41" s="143"/>
      <c r="G41" s="143"/>
      <c r="H41" s="143"/>
      <c r="I41" s="143"/>
      <c r="J41" s="143"/>
      <c r="K41" s="143"/>
      <c r="L41" s="143"/>
      <c r="M41" s="143"/>
      <c r="N41" s="143"/>
      <c r="O41" s="143"/>
    </row>
    <row r="42" spans="2:15" ht="14.4" customHeight="1" x14ac:dyDescent="0.3">
      <c r="B42" s="143"/>
      <c r="C42" s="143"/>
      <c r="D42" s="143"/>
      <c r="E42" s="143"/>
      <c r="F42" s="143"/>
      <c r="G42" s="143"/>
      <c r="H42" s="143"/>
      <c r="I42" s="143"/>
      <c r="J42" s="143"/>
      <c r="K42" s="143"/>
      <c r="L42" s="143"/>
      <c r="M42" s="143"/>
      <c r="N42" s="143"/>
      <c r="O42" s="143"/>
    </row>
    <row r="43" spans="2:15" ht="14.4" customHeight="1" x14ac:dyDescent="0.3">
      <c r="B43" s="143"/>
      <c r="C43" s="143"/>
      <c r="D43" s="143"/>
      <c r="E43" s="143"/>
      <c r="F43" s="143"/>
      <c r="G43" s="143"/>
      <c r="H43" s="143"/>
      <c r="I43" s="143"/>
      <c r="J43" s="143"/>
      <c r="K43" s="143"/>
      <c r="L43" s="143"/>
      <c r="M43" s="143"/>
      <c r="N43" s="143"/>
      <c r="O43" s="143"/>
    </row>
    <row r="44" spans="2:15" ht="14.4" customHeight="1" x14ac:dyDescent="0.3">
      <c r="B44" s="143"/>
      <c r="C44" s="143"/>
      <c r="D44" s="143"/>
      <c r="E44" s="143"/>
      <c r="F44" s="143"/>
      <c r="G44" s="143"/>
      <c r="H44" s="143"/>
      <c r="I44" s="143"/>
      <c r="J44" s="143"/>
      <c r="K44" s="143"/>
      <c r="L44" s="143"/>
      <c r="M44" s="143"/>
      <c r="N44" s="143"/>
      <c r="O44" s="143"/>
    </row>
    <row r="45" spans="2:15" ht="14.4" customHeight="1" x14ac:dyDescent="0.3">
      <c r="B45" s="143"/>
      <c r="C45" s="143"/>
      <c r="D45" s="143"/>
      <c r="E45" s="143"/>
      <c r="F45" s="143"/>
      <c r="G45" s="143"/>
      <c r="H45" s="143"/>
      <c r="I45" s="143"/>
      <c r="J45" s="143"/>
      <c r="K45" s="143"/>
      <c r="L45" s="143"/>
      <c r="M45" s="143"/>
      <c r="N45" s="143"/>
      <c r="O45" s="143"/>
    </row>
    <row r="46" spans="2:15" ht="14.4" customHeight="1" x14ac:dyDescent="0.3">
      <c r="B46" s="145"/>
      <c r="C46" s="145"/>
      <c r="D46" s="145"/>
      <c r="E46" s="145"/>
      <c r="F46" s="145"/>
      <c r="G46" s="145"/>
      <c r="H46" s="145"/>
      <c r="I46" s="145"/>
      <c r="J46" s="145"/>
      <c r="K46" s="145"/>
      <c r="L46" s="145"/>
      <c r="M46" s="145"/>
      <c r="N46" s="145"/>
      <c r="O46" s="145"/>
    </row>
    <row r="47" spans="2:15" ht="14.4" customHeight="1" x14ac:dyDescent="0.3">
      <c r="B47" s="145"/>
      <c r="C47" s="145"/>
      <c r="D47" s="145"/>
      <c r="E47" s="145"/>
      <c r="F47" s="145"/>
      <c r="G47" s="145"/>
      <c r="H47" s="145"/>
      <c r="I47" s="145"/>
      <c r="J47" s="145"/>
      <c r="K47" s="145"/>
      <c r="L47" s="145"/>
      <c r="M47" s="145"/>
      <c r="N47" s="145"/>
      <c r="O47" s="145"/>
    </row>
    <row r="48" spans="2:15" ht="14.4" customHeight="1" x14ac:dyDescent="0.3">
      <c r="B48" s="145"/>
      <c r="C48" s="145"/>
      <c r="D48" s="145"/>
      <c r="E48" s="145"/>
      <c r="F48" s="145"/>
      <c r="G48" s="145"/>
      <c r="H48" s="145"/>
      <c r="I48" s="145"/>
      <c r="J48" s="145"/>
      <c r="K48" s="145"/>
      <c r="L48" s="145"/>
      <c r="M48" s="145"/>
      <c r="N48" s="145"/>
      <c r="O48" s="145"/>
    </row>
  </sheetData>
  <sheetProtection algorithmName="SHA-512" hashValue="Fb1XurobiIHPZuU1vDExIDT0IOBTBf0aiUm2yU8fuiGX7ZFrC8jdQ0ZPvfmTSqCIX2/kgdv9jQKcViRdaOLc0A==" saltValue="6EqQAXFsIsrpGsKDrv8TSA==" spinCount="100000" sheet="1" objects="1" scenarios="1" selectLockedCells="1" selectUnlockedCells="1"/>
  <pageMargins left="0.7" right="0.7" top="0.75" bottom="0.75" header="0.3" footer="0.3"/>
  <pageSetup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1CCE5-58CF-4B9B-8AE8-6A27FD241E9F}">
  <sheetPr>
    <tabColor theme="0"/>
  </sheetPr>
  <dimension ref="A1:M92"/>
  <sheetViews>
    <sheetView showGridLines="0" tabSelected="1" zoomScale="85" zoomScaleNormal="85" workbookViewId="0">
      <selection activeCell="C6" sqref="C6"/>
    </sheetView>
  </sheetViews>
  <sheetFormatPr defaultColWidth="8.88671875" defaultRowHeight="14.4" x14ac:dyDescent="0.3"/>
  <cols>
    <col min="1" max="1" width="8.88671875" style="1"/>
    <col min="2" max="2" width="54.6640625" style="1" customWidth="1"/>
    <col min="3" max="4" width="24.33203125" style="1" customWidth="1"/>
    <col min="5" max="5" width="23.6640625" style="1" customWidth="1"/>
    <col min="6" max="7" width="7.33203125" style="1" customWidth="1"/>
    <col min="8" max="9" width="25.6640625" style="83" customWidth="1"/>
    <col min="10" max="10" width="57.88671875" style="83" bestFit="1" customWidth="1"/>
    <col min="11" max="12" width="20.88671875" style="83" customWidth="1"/>
    <col min="13" max="13" width="8.88671875" style="83"/>
    <col min="14" max="16384" width="8.88671875" style="1"/>
  </cols>
  <sheetData>
    <row r="1" spans="2:5" ht="27" customHeight="1" x14ac:dyDescent="0.3"/>
    <row r="2" spans="2:5" s="83" customFormat="1" ht="27" customHeight="1" x14ac:dyDescent="0.3">
      <c r="B2" s="127"/>
      <c r="C2" s="128"/>
      <c r="D2" s="87"/>
      <c r="E2" s="84"/>
    </row>
    <row r="3" spans="2:5" s="86" customFormat="1" ht="27" customHeight="1" x14ac:dyDescent="0.3">
      <c r="B3" s="127"/>
      <c r="C3" s="128"/>
      <c r="D3" s="87"/>
      <c r="E3" s="84"/>
    </row>
    <row r="4" spans="2:5" s="86" customFormat="1" ht="27" customHeight="1" x14ac:dyDescent="0.3">
      <c r="B4" s="129"/>
      <c r="C4" s="128"/>
      <c r="D4" s="87"/>
      <c r="E4" s="84"/>
    </row>
    <row r="5" spans="2:5" s="86" customFormat="1" ht="27" customHeight="1" thickBot="1" x14ac:dyDescent="0.35">
      <c r="B5" s="130"/>
      <c r="C5" s="88"/>
      <c r="D5" s="87"/>
      <c r="E5" s="84"/>
    </row>
    <row r="6" spans="2:5" s="83" customFormat="1" ht="21.6" customHeight="1" thickTop="1" thickBot="1" x14ac:dyDescent="0.35">
      <c r="B6" s="146" t="s">
        <v>100</v>
      </c>
      <c r="C6" s="89">
        <v>1.4650000000000001</v>
      </c>
      <c r="D6" s="105"/>
      <c r="E6" s="84"/>
    </row>
    <row r="7" spans="2:5" s="83" customFormat="1" ht="21.6" hidden="1" customHeight="1" thickTop="1" thickBot="1" x14ac:dyDescent="0.35">
      <c r="B7" s="90" t="s">
        <v>98</v>
      </c>
      <c r="C7" s="139">
        <f>CONVERT(_xlfn.IFS(B6=B19,C6*1000,B6=B21,C6/0.76*1000,B6=B23,C6/0.745*1000,B6=B20,CONVERT(C6,"MJ","kcal"),B6=B22,CONVERT(C6,"MJ","kcal")/0.76,B6=B24,CONVERT(C6,"MJ","kcal")/0.745),"kg","lbm")</f>
        <v>3229.7721410084564</v>
      </c>
      <c r="E7" s="84"/>
    </row>
    <row r="8" spans="2:5" s="83" customFormat="1" ht="21.6" hidden="1" customHeight="1" thickTop="1" thickBot="1" x14ac:dyDescent="0.35">
      <c r="B8" s="131" t="s">
        <v>116</v>
      </c>
      <c r="C8" s="91">
        <v>320</v>
      </c>
      <c r="E8" s="84"/>
    </row>
    <row r="9" spans="2:5" s="83" customFormat="1" ht="16.95" customHeight="1" thickTop="1" x14ac:dyDescent="0.3">
      <c r="B9" s="141" t="s">
        <v>84</v>
      </c>
    </row>
    <row r="10" spans="2:5" s="83" customFormat="1" ht="16.95" customHeight="1" x14ac:dyDescent="0.3"/>
    <row r="11" spans="2:5" s="83" customFormat="1" ht="18.600000000000001" thickBot="1" x14ac:dyDescent="0.35">
      <c r="B11" s="109" t="s">
        <v>99</v>
      </c>
      <c r="C11" s="94"/>
      <c r="D11" s="94"/>
      <c r="E11" s="94"/>
    </row>
    <row r="12" spans="2:5" s="83" customFormat="1" ht="44.4" customHeight="1" thickTop="1" thickBot="1" x14ac:dyDescent="0.35">
      <c r="B12" s="93" t="s">
        <v>89</v>
      </c>
      <c r="C12" s="93" t="str">
        <f>IF(B6=B19,B26,IF(B6=B20,B27,IF(B6=B21,B28,IF(B6=B22,B29,IF(B6=B23,B28,IF(B6=B24,B29))))))</f>
        <v>ME, Mcal/day</v>
      </c>
      <c r="D12" s="110" t="s">
        <v>106</v>
      </c>
      <c r="E12" s="111" t="s">
        <v>2</v>
      </c>
    </row>
    <row r="13" spans="2:5" s="83" customFormat="1" ht="21.6" customHeight="1" thickTop="1" thickBot="1" x14ac:dyDescent="0.35">
      <c r="B13" s="112" t="s">
        <v>133</v>
      </c>
      <c r="C13" s="115">
        <f>IF(B6=B19,C19,IF(B6=B20,C20,IF(B6=B21,C21,IF(B6=B22,C22,IF(B6=B23,C23,IF(B6=B24,C24))))))</f>
        <v>8</v>
      </c>
      <c r="D13" s="112">
        <f>CONVERT(C19/($C$7/1000),"kg","lbm")</f>
        <v>5.4607508532423212</v>
      </c>
      <c r="E13" s="122">
        <f xml:space="preserve"> CONVERT(D13,"lbm","kg")*$C$80*1000</f>
        <v>14.915254237288138</v>
      </c>
    </row>
    <row r="14" spans="2:5" s="83" customFormat="1" ht="21.6" customHeight="1" thickTop="1" thickBot="1" x14ac:dyDescent="0.35">
      <c r="B14" s="112" t="s">
        <v>132</v>
      </c>
      <c r="C14" s="115">
        <f>IF(B6=B19,D19,IF(B6=B20,D20,IF(B6=B21,D21,IF(B6=B22,D22,IF(B6=B23,D23,IF(B6=B24,D24))))))</f>
        <v>5.9</v>
      </c>
      <c r="D14" s="112">
        <f>CONVERT(D19/($C$7/1000),"kg","lbm")</f>
        <v>4.0273037542662111</v>
      </c>
      <c r="E14" s="122">
        <f xml:space="preserve"> CONVERT(D14,"lbm","kg")*$C$80*1000</f>
        <v>11</v>
      </c>
    </row>
    <row r="15" spans="2:5" s="83" customFormat="1" ht="21.6" customHeight="1" thickTop="1" thickBot="1" x14ac:dyDescent="0.35">
      <c r="B15" s="112" t="s">
        <v>131</v>
      </c>
      <c r="C15" s="115">
        <f>IF(B6=B19,E19,IF(B6=B20,E20,IF(B6=B21,E21,IF(B6=B22,E22,IF(B6=B23,E23,IF(B6=B24,E24))))))</f>
        <v>4.9000000000000004</v>
      </c>
      <c r="D15" s="112">
        <f>CONVERT(E19/($C$7/1000),"kg","lbm")</f>
        <v>3.344709897610922</v>
      </c>
      <c r="E15" s="122">
        <f xml:space="preserve"> CONVERT(D15,"lbm","kg")*$C$80*1000</f>
        <v>9.1355932203389845</v>
      </c>
    </row>
    <row r="16" spans="2:5" s="83" customFormat="1" ht="16.95" customHeight="1" thickTop="1" x14ac:dyDescent="0.3">
      <c r="B16" s="156" t="str">
        <f>IF(B6=B19," ",IF(B6=B20," ",IF(B6=B21,B31,IF(B6=B22,B31,IF(B6=B23,B32,IF(B6=B24,B32))))))</f>
        <v xml:space="preserve"> </v>
      </c>
      <c r="C16" s="156"/>
      <c r="D16" s="156"/>
    </row>
    <row r="17" spans="2:5" s="83" customFormat="1" ht="16.95" hidden="1" customHeight="1" x14ac:dyDescent="0.3"/>
    <row r="18" spans="2:5" s="83" customFormat="1" ht="21" hidden="1" customHeight="1" thickBot="1" x14ac:dyDescent="0.35">
      <c r="B18" s="96"/>
      <c r="C18" s="97" t="s">
        <v>82</v>
      </c>
      <c r="D18" s="97" t="s">
        <v>5</v>
      </c>
      <c r="E18" s="97" t="s">
        <v>6</v>
      </c>
    </row>
    <row r="19" spans="2:5" s="83" customFormat="1" ht="21" hidden="1" customHeight="1" thickTop="1" x14ac:dyDescent="0.3">
      <c r="B19" s="98" t="s">
        <v>100</v>
      </c>
      <c r="C19" s="99">
        <v>8</v>
      </c>
      <c r="D19" s="99">
        <v>5.9</v>
      </c>
      <c r="E19" s="99">
        <v>4.9000000000000004</v>
      </c>
    </row>
    <row r="20" spans="2:5" s="83" customFormat="1" ht="21" hidden="1" customHeight="1" x14ac:dyDescent="0.3">
      <c r="B20" s="98" t="s">
        <v>101</v>
      </c>
      <c r="C20" s="99">
        <f>(CONVERT(C19,"Mcal","MJ"))</f>
        <v>33.494399999999999</v>
      </c>
      <c r="D20" s="99">
        <f>(CONVERT(D19,"Mcal","MJ"))</f>
        <v>24.702120000000001</v>
      </c>
      <c r="E20" s="99">
        <f>(CONVERT(E19,"Mcal","MJ"))</f>
        <v>20.515319999999999</v>
      </c>
    </row>
    <row r="21" spans="2:5" s="83" customFormat="1" ht="21" hidden="1" customHeight="1" x14ac:dyDescent="0.3">
      <c r="B21" s="98" t="s">
        <v>102</v>
      </c>
      <c r="C21" s="99">
        <f>C19*0.76</f>
        <v>6.08</v>
      </c>
      <c r="D21" s="99">
        <f>D19*0.76</f>
        <v>4.484</v>
      </c>
      <c r="E21" s="99">
        <f>E19*0.76</f>
        <v>3.7240000000000002</v>
      </c>
    </row>
    <row r="22" spans="2:5" s="83" customFormat="1" ht="21" hidden="1" customHeight="1" x14ac:dyDescent="0.3">
      <c r="B22" s="98" t="s">
        <v>103</v>
      </c>
      <c r="C22" s="99">
        <f>(CONVERT(C21,"Mcal","MJ"))</f>
        <v>25.455743999999999</v>
      </c>
      <c r="D22" s="99">
        <f>(CONVERT(D21,"Mcal","MJ"))</f>
        <v>18.773611200000001</v>
      </c>
      <c r="E22" s="99">
        <f>(CONVERT(E21,"Mcal","MJ"))</f>
        <v>15.5916432</v>
      </c>
    </row>
    <row r="23" spans="2:5" s="83" customFormat="1" ht="21" hidden="1" customHeight="1" x14ac:dyDescent="0.3">
      <c r="B23" s="98" t="s">
        <v>104</v>
      </c>
      <c r="C23" s="99">
        <f>C19*0.745</f>
        <v>5.96</v>
      </c>
      <c r="D23" s="99">
        <f>D19*0.745</f>
        <v>4.3955000000000002</v>
      </c>
      <c r="E23" s="99">
        <f>E19*0.745</f>
        <v>3.6505000000000001</v>
      </c>
    </row>
    <row r="24" spans="2:5" s="83" customFormat="1" ht="21" hidden="1" customHeight="1" x14ac:dyDescent="0.3">
      <c r="B24" s="98" t="s">
        <v>105</v>
      </c>
      <c r="C24" s="99">
        <f>(CONVERT(C23,"Mcal","MJ"))</f>
        <v>24.953327999999999</v>
      </c>
      <c r="D24" s="99">
        <f>(CONVERT(D23,"Mcal","MJ"))</f>
        <v>18.403079399999999</v>
      </c>
      <c r="E24" s="99">
        <f>(CONVERT(E23,"Mcal","MJ"))</f>
        <v>15.283913399999999</v>
      </c>
    </row>
    <row r="25" spans="2:5" s="83" customFormat="1" ht="21" hidden="1" customHeight="1" x14ac:dyDescent="0.3">
      <c r="B25" s="83" t="s">
        <v>107</v>
      </c>
    </row>
    <row r="26" spans="2:5" s="83" customFormat="1" ht="21" hidden="1" customHeight="1" x14ac:dyDescent="0.3">
      <c r="B26" s="100" t="s">
        <v>85</v>
      </c>
    </row>
    <row r="27" spans="2:5" s="83" customFormat="1" ht="21" hidden="1" customHeight="1" x14ac:dyDescent="0.3">
      <c r="B27" s="100" t="s">
        <v>86</v>
      </c>
    </row>
    <row r="28" spans="2:5" s="83" customFormat="1" ht="21" hidden="1" customHeight="1" x14ac:dyDescent="0.3">
      <c r="B28" s="100" t="s">
        <v>87</v>
      </c>
    </row>
    <row r="29" spans="2:5" s="83" customFormat="1" ht="21" hidden="1" customHeight="1" x14ac:dyDescent="0.3">
      <c r="B29" s="100" t="s">
        <v>88</v>
      </c>
    </row>
    <row r="30" spans="2:5" s="83" customFormat="1" ht="21" hidden="1" customHeight="1" x14ac:dyDescent="0.3"/>
    <row r="31" spans="2:5" s="83" customFormat="1" ht="21" hidden="1" customHeight="1" x14ac:dyDescent="0.3">
      <c r="B31" s="157" t="s">
        <v>10</v>
      </c>
      <c r="C31" s="158"/>
    </row>
    <row r="32" spans="2:5" s="83" customFormat="1" ht="21" hidden="1" customHeight="1" x14ac:dyDescent="0.3">
      <c r="B32" s="157" t="s">
        <v>11</v>
      </c>
      <c r="C32" s="158"/>
    </row>
    <row r="33" spans="1:8" s="83" customFormat="1" ht="14.4" hidden="1" customHeight="1" x14ac:dyDescent="0.3"/>
    <row r="34" spans="1:8" s="83" customFormat="1" ht="14.4" hidden="1" customHeight="1" x14ac:dyDescent="0.3"/>
    <row r="35" spans="1:8" s="83" customFormat="1" ht="14.4" hidden="1" customHeight="1" x14ac:dyDescent="0.3"/>
    <row r="36" spans="1:8" s="83" customFormat="1" ht="14.4" hidden="1" customHeight="1" x14ac:dyDescent="0.3">
      <c r="B36" s="103" t="s">
        <v>83</v>
      </c>
      <c r="C36" s="103" t="s">
        <v>125</v>
      </c>
      <c r="D36" s="103" t="s">
        <v>124</v>
      </c>
      <c r="E36" s="103" t="s">
        <v>126</v>
      </c>
    </row>
    <row r="37" spans="1:8" s="83" customFormat="1" ht="14.4" hidden="1" customHeight="1" x14ac:dyDescent="0.3">
      <c r="B37" s="101" t="s">
        <v>3</v>
      </c>
      <c r="C37" s="102">
        <f>$D$13</f>
        <v>5.4607508532423212</v>
      </c>
      <c r="D37" s="102">
        <f>$D$14</f>
        <v>4.0273037542662111</v>
      </c>
      <c r="E37" s="102">
        <f>$D$15</f>
        <v>3.344709897610922</v>
      </c>
    </row>
    <row r="38" spans="1:8" s="83" customFormat="1" ht="14.4" hidden="1" customHeight="1" x14ac:dyDescent="0.3">
      <c r="B38" s="101" t="s">
        <v>7</v>
      </c>
      <c r="C38" s="102">
        <f>$D$13</f>
        <v>5.4607508532423212</v>
      </c>
      <c r="D38" s="102">
        <f>$D$14</f>
        <v>4.0273037542662111</v>
      </c>
      <c r="E38" s="102">
        <f>$D$15</f>
        <v>3.344709897610922</v>
      </c>
    </row>
    <row r="39" spans="1:8" s="83" customFormat="1" ht="14.4" hidden="1" customHeight="1" x14ac:dyDescent="0.3">
      <c r="B39" s="101" t="s">
        <v>8</v>
      </c>
      <c r="C39" s="102">
        <f>$D$13</f>
        <v>5.4607508532423212</v>
      </c>
      <c r="D39" s="102">
        <f>$D$14</f>
        <v>4.0273037542662111</v>
      </c>
      <c r="E39" s="102">
        <f>$D$15</f>
        <v>3.344709897610922</v>
      </c>
    </row>
    <row r="40" spans="1:8" s="83" customFormat="1" ht="14.4" hidden="1" customHeight="1" x14ac:dyDescent="0.3">
      <c r="B40" s="101" t="s">
        <v>4</v>
      </c>
      <c r="C40" s="102">
        <f>$D$13</f>
        <v>5.4607508532423212</v>
      </c>
      <c r="D40" s="102">
        <f>$D$14</f>
        <v>4.0273037542662111</v>
      </c>
      <c r="E40" s="102">
        <f>$D$15</f>
        <v>3.344709897610922</v>
      </c>
    </row>
    <row r="41" spans="1:8" s="83" customFormat="1" ht="14.4" hidden="1" customHeight="1" x14ac:dyDescent="0.3">
      <c r="B41" s="101" t="s">
        <v>135</v>
      </c>
      <c r="C41" s="102">
        <f>C40</f>
        <v>5.4607508532423212</v>
      </c>
      <c r="D41" s="102">
        <f>D40</f>
        <v>4.0273037542662111</v>
      </c>
      <c r="E41" s="102">
        <f>E40</f>
        <v>3.344709897610922</v>
      </c>
    </row>
    <row r="42" spans="1:8" s="83" customFormat="1" ht="14.4" hidden="1" customHeight="1" x14ac:dyDescent="0.3">
      <c r="B42" s="101"/>
      <c r="C42" s="102"/>
      <c r="D42" s="102"/>
    </row>
    <row r="43" spans="1:8" s="83" customFormat="1" ht="20.399999999999999" hidden="1" thickBot="1" x14ac:dyDescent="0.35">
      <c r="B43" s="109" t="str">
        <f>"Table 2. Base allocation (" &amp;ROUND(D14,2)&amp; " lb/d) as percent of daily intake to 100% maintenance"</f>
        <v>Table 2. Base allocation (4.03 lb/d) as percent of daily intake to 100% maintenance</v>
      </c>
      <c r="C43" s="88"/>
      <c r="D43" s="88"/>
      <c r="E43" s="88"/>
    </row>
    <row r="44" spans="1:8" s="83" customFormat="1" ht="43.95" hidden="1" customHeight="1" thickTop="1" thickBot="1" x14ac:dyDescent="0.35">
      <c r="B44" s="92" t="s">
        <v>80</v>
      </c>
      <c r="C44" s="92" t="s">
        <v>108</v>
      </c>
      <c r="D44" s="93" t="s">
        <v>0</v>
      </c>
      <c r="E44" s="93" t="s">
        <v>81</v>
      </c>
      <c r="H44" s="104"/>
    </row>
    <row r="45" spans="1:8" s="83" customFormat="1" ht="21.6" hidden="1" customHeight="1" thickTop="1" thickBot="1" x14ac:dyDescent="0.35">
      <c r="B45" s="94" t="s">
        <v>78</v>
      </c>
      <c r="C45" s="107">
        <f>C8</f>
        <v>320</v>
      </c>
      <c r="D45" s="108">
        <f>CONVERT(((100*(CONVERT(C45,"lbm","kg"))^0.75)/$C$7),"kg","lbm")</f>
        <v>2.8544613337380564</v>
      </c>
      <c r="E45" s="123">
        <f>$D$14/D45*100</f>
        <v>141.08804721457761</v>
      </c>
      <c r="F45" s="114" t="str">
        <f>IF(E45&lt;100,"!","")</f>
        <v/>
      </c>
      <c r="G45" s="114"/>
      <c r="H45" s="104"/>
    </row>
    <row r="46" spans="1:8" s="83" customFormat="1" ht="21.6" hidden="1" customHeight="1" thickTop="1" thickBot="1" x14ac:dyDescent="0.35">
      <c r="B46" s="94" t="s">
        <v>77</v>
      </c>
      <c r="C46" s="107">
        <f>SUMPRODUCT('II. Herd Maternal (imperial)'!D9:D14,'II. Herd Maternal (imperial)'!O9:O14)</f>
        <v>444.022666879795</v>
      </c>
      <c r="D46" s="108">
        <f t="shared" ref="D46:D47" si="0">CONVERT(((100*(CONVERT(C46,"lbm","kg"))^0.75)/$C$7),"kg","lbm")</f>
        <v>3.6493501595301892</v>
      </c>
      <c r="E46" s="123">
        <f t="shared" ref="E46:E47" si="1">$D$14/D46*100</f>
        <v>110.35673690421308</v>
      </c>
      <c r="F46" s="114" t="str">
        <f t="shared" ref="F46:F47" si="2">IF(E46&lt;100,"!","")</f>
        <v/>
      </c>
      <c r="G46" s="114"/>
      <c r="H46" s="104"/>
    </row>
    <row r="47" spans="1:8" s="83" customFormat="1" ht="21.6" hidden="1" customHeight="1" thickTop="1" thickBot="1" x14ac:dyDescent="0.35">
      <c r="A47" s="83" t="s">
        <v>76</v>
      </c>
      <c r="B47" s="94" t="s">
        <v>79</v>
      </c>
      <c r="C47" s="107">
        <f>SUMPRODUCT('II. Herd Maternal (imperial)'!C8:C14,'II. Herd Maternal (imperial)'!D8:D14)</f>
        <v>419.83824683823491</v>
      </c>
      <c r="D47" s="108">
        <f t="shared" si="0"/>
        <v>3.4992355720485904</v>
      </c>
      <c r="E47" s="123">
        <f t="shared" si="1"/>
        <v>115.09095833489337</v>
      </c>
      <c r="F47" s="114" t="str">
        <f t="shared" si="2"/>
        <v/>
      </c>
      <c r="G47" s="114"/>
    </row>
    <row r="48" spans="1:8" s="83" customFormat="1" ht="16.95" hidden="1" customHeight="1" thickTop="1" x14ac:dyDescent="0.3">
      <c r="B48" s="113" t="s">
        <v>91</v>
      </c>
    </row>
    <row r="49" spans="2:12" s="83" customFormat="1" ht="16.95" customHeight="1" x14ac:dyDescent="0.3"/>
    <row r="50" spans="2:12" s="83" customFormat="1" ht="22.2" customHeight="1" thickBot="1" x14ac:dyDescent="0.35">
      <c r="B50" s="132" t="s">
        <v>121</v>
      </c>
      <c r="C50" s="133"/>
      <c r="D50" s="133"/>
    </row>
    <row r="51" spans="2:12" s="83" customFormat="1" ht="43.2" customHeight="1" thickTop="1" thickBot="1" x14ac:dyDescent="0.35">
      <c r="B51" s="134" t="s">
        <v>109</v>
      </c>
      <c r="C51" s="133" t="s">
        <v>111</v>
      </c>
      <c r="D51" s="135" t="s">
        <v>112</v>
      </c>
      <c r="E51" s="83" t="s">
        <v>76</v>
      </c>
    </row>
    <row r="52" spans="2:12" s="83" customFormat="1" ht="22.2" customHeight="1" thickTop="1" thickBot="1" x14ac:dyDescent="0.35">
      <c r="B52" s="149" t="str">
        <f>ROUND((FFM!AL7),1)&amp; " to " &amp;ROUND((FFM!AM7),1)</f>
        <v>35.2 to 38.6</v>
      </c>
      <c r="C52" s="149" t="str">
        <f>ROUND((FFM!AN7),0)&amp; " to " &amp;ROUND((FFM!AO7),0)</f>
        <v>300 to 385</v>
      </c>
      <c r="D52" s="150">
        <f>FFM!AP7</f>
        <v>3.279119379470095</v>
      </c>
      <c r="I52" s="136"/>
    </row>
    <row r="53" spans="2:12" s="83" customFormat="1" ht="19.2" thickTop="1" thickBot="1" x14ac:dyDescent="0.35">
      <c r="B53" s="149" t="str">
        <f>ROUND((FFM!AL8),1)&amp; " to " &amp;ROUND((FFM!AM8),1)</f>
        <v>38.7 to 40.6</v>
      </c>
      <c r="C53" s="149" t="str">
        <f>ROUND((FFM!AN8),0)&amp; " to " &amp;ROUND((FFM!AO8),0)</f>
        <v>386 to 440</v>
      </c>
      <c r="D53" s="150">
        <f>FFM!AP8</f>
        <v>3.6245257383511547</v>
      </c>
      <c r="I53" s="136"/>
    </row>
    <row r="54" spans="2:12" s="83" customFormat="1" ht="19.2" thickTop="1" thickBot="1" x14ac:dyDescent="0.35">
      <c r="B54" s="134" t="str">
        <f>ROUND((FFM!AL9),1)&amp; " to " &amp;ROUND((FFM!AM9),1)</f>
        <v>40.6 to 42.6</v>
      </c>
      <c r="C54" s="134" t="str">
        <f>ROUND((FFM!AN9),0)&amp; " to " &amp;ROUND((FFM!AO9),0)</f>
        <v>441 to 500</v>
      </c>
      <c r="D54" s="148">
        <f>FFM!AP9</f>
        <v>3.9892309883643815</v>
      </c>
      <c r="I54" s="136"/>
    </row>
    <row r="55" spans="2:12" s="83" customFormat="1" ht="15" thickTop="1" x14ac:dyDescent="0.3">
      <c r="B55" s="113" t="s">
        <v>134</v>
      </c>
    </row>
    <row r="56" spans="2:12" s="83" customFormat="1" x14ac:dyDescent="0.3">
      <c r="B56" s="113" t="s">
        <v>130</v>
      </c>
    </row>
    <row r="57" spans="2:12" s="83" customFormat="1" x14ac:dyDescent="0.3">
      <c r="B57" s="113"/>
    </row>
    <row r="58" spans="2:12" s="83" customFormat="1" ht="14.4" customHeight="1" x14ac:dyDescent="0.3">
      <c r="H58" s="159" t="s">
        <v>136</v>
      </c>
      <c r="I58" s="159"/>
      <c r="J58" s="159"/>
      <c r="K58" s="159"/>
      <c r="L58" s="159"/>
    </row>
    <row r="59" spans="2:12" s="83" customFormat="1" ht="18.600000000000001" thickBot="1" x14ac:dyDescent="0.35">
      <c r="B59" s="121" t="s">
        <v>117</v>
      </c>
      <c r="C59" s="112"/>
      <c r="H59" s="159"/>
      <c r="I59" s="159"/>
      <c r="J59" s="159"/>
      <c r="K59" s="159"/>
      <c r="L59" s="159"/>
    </row>
    <row r="60" spans="2:12" s="83" customFormat="1" ht="22.2" customHeight="1" thickTop="1" thickBot="1" x14ac:dyDescent="0.35">
      <c r="B60" s="134" t="s">
        <v>113</v>
      </c>
      <c r="C60" s="140">
        <v>37</v>
      </c>
      <c r="H60" s="159"/>
      <c r="I60" s="159"/>
      <c r="J60" s="159"/>
      <c r="K60" s="159"/>
      <c r="L60" s="159"/>
    </row>
    <row r="61" spans="2:12" s="83" customFormat="1" ht="22.2" customHeight="1" thickTop="1" thickBot="1" x14ac:dyDescent="0.35">
      <c r="B61" s="134" t="s">
        <v>114</v>
      </c>
      <c r="C61" s="94">
        <f>CONVERT(((C63*0.0507) + 0.6139)^3,"kg","lbm")</f>
        <v>343.05427368672605</v>
      </c>
      <c r="E61" s="83" t="s">
        <v>76</v>
      </c>
      <c r="H61" s="159"/>
      <c r="I61" s="159"/>
      <c r="J61" s="159"/>
      <c r="K61" s="159"/>
      <c r="L61" s="159"/>
    </row>
    <row r="62" spans="2:12" s="83" customFormat="1" ht="22.2" customHeight="1" thickTop="1" thickBot="1" x14ac:dyDescent="0.35">
      <c r="B62" s="134" t="s">
        <v>120</v>
      </c>
      <c r="C62" s="133">
        <f>CONVERT((100*((CONVERT(C61,"lbm","kg")^0.75))/(FFM!$B$10*1000)),"kg","lbm")</f>
        <v>3.0073488321890123</v>
      </c>
      <c r="H62" s="159"/>
      <c r="I62" s="159"/>
      <c r="J62" s="159"/>
      <c r="K62" s="159"/>
      <c r="L62" s="159"/>
    </row>
    <row r="63" spans="2:12" s="83" customFormat="1" ht="15" hidden="1" customHeight="1" thickTop="1" x14ac:dyDescent="0.3">
      <c r="C63" s="138">
        <f>CONVERT(C60,"in","cm")</f>
        <v>93.97999999999999</v>
      </c>
      <c r="H63" s="159"/>
      <c r="I63" s="159"/>
      <c r="J63" s="159"/>
      <c r="K63" s="159"/>
      <c r="L63" s="159"/>
    </row>
    <row r="64" spans="2:12" ht="14.4" hidden="1" customHeight="1" x14ac:dyDescent="0.3">
      <c r="C64" s="138">
        <f>CONVERT(C61,"lbm","kg")</f>
        <v>155.6068010401907</v>
      </c>
      <c r="H64" s="159"/>
      <c r="I64" s="159"/>
      <c r="J64" s="159"/>
      <c r="K64" s="159"/>
      <c r="L64" s="159"/>
    </row>
    <row r="65" spans="2:12" ht="14.4" hidden="1" customHeight="1" x14ac:dyDescent="0.3">
      <c r="C65" s="138">
        <f>((100*(C64^0.75)))/C7</f>
        <v>1.3641104842093463</v>
      </c>
      <c r="H65" s="159"/>
      <c r="I65" s="159"/>
      <c r="J65" s="159"/>
      <c r="K65" s="159"/>
      <c r="L65" s="159"/>
    </row>
    <row r="66" spans="2:12" ht="14.4" hidden="1" customHeight="1" x14ac:dyDescent="0.3">
      <c r="C66" s="138">
        <f>CONVERT(C65,"kg","lbm")</f>
        <v>3.0073488321890123</v>
      </c>
      <c r="H66" s="159"/>
      <c r="I66" s="159"/>
      <c r="J66" s="159"/>
      <c r="K66" s="159"/>
      <c r="L66" s="159"/>
    </row>
    <row r="67" spans="2:12" ht="15" customHeight="1" thickTop="1" x14ac:dyDescent="0.3">
      <c r="H67" s="159"/>
      <c r="I67" s="159"/>
      <c r="J67" s="159"/>
      <c r="K67" s="159"/>
      <c r="L67" s="159"/>
    </row>
    <row r="68" spans="2:12" ht="14.4" hidden="1" customHeight="1" x14ac:dyDescent="0.3">
      <c r="H68" s="159"/>
      <c r="I68" s="159"/>
      <c r="J68" s="159"/>
      <c r="K68" s="159"/>
      <c r="L68" s="159"/>
    </row>
    <row r="69" spans="2:12" ht="14.4" hidden="1" customHeight="1" x14ac:dyDescent="0.3">
      <c r="H69" s="159"/>
      <c r="I69" s="159"/>
      <c r="J69" s="159"/>
      <c r="K69" s="159"/>
      <c r="L69" s="159"/>
    </row>
    <row r="70" spans="2:12" ht="14.4" hidden="1" customHeight="1" x14ac:dyDescent="0.3">
      <c r="H70" s="159"/>
      <c r="I70" s="159"/>
      <c r="J70" s="159"/>
      <c r="K70" s="159"/>
      <c r="L70" s="159"/>
    </row>
    <row r="71" spans="2:12" ht="14.4" hidden="1" customHeight="1" x14ac:dyDescent="0.3">
      <c r="H71" s="159"/>
      <c r="I71" s="159"/>
      <c r="J71" s="159"/>
      <c r="K71" s="159"/>
      <c r="L71" s="159"/>
    </row>
    <row r="72" spans="2:12" ht="14.4" hidden="1" customHeight="1" x14ac:dyDescent="0.3">
      <c r="H72" s="159"/>
      <c r="I72" s="159"/>
      <c r="J72" s="159"/>
      <c r="K72" s="159"/>
      <c r="L72" s="159"/>
    </row>
    <row r="73" spans="2:12" ht="14.4" hidden="1" customHeight="1" x14ac:dyDescent="0.3">
      <c r="H73" s="159"/>
      <c r="I73" s="159"/>
      <c r="J73" s="159"/>
      <c r="K73" s="159"/>
      <c r="L73" s="159"/>
    </row>
    <row r="74" spans="2:12" ht="14.4" hidden="1" customHeight="1" x14ac:dyDescent="0.3">
      <c r="H74" s="159"/>
      <c r="I74" s="159"/>
      <c r="J74" s="159"/>
      <c r="K74" s="159"/>
      <c r="L74" s="159"/>
    </row>
    <row r="75" spans="2:12" ht="14.4" hidden="1" customHeight="1" x14ac:dyDescent="0.3">
      <c r="H75" s="159"/>
      <c r="I75" s="159"/>
      <c r="J75" s="159"/>
      <c r="K75" s="159"/>
      <c r="L75" s="159"/>
    </row>
    <row r="76" spans="2:12" ht="14.4" hidden="1" customHeight="1" x14ac:dyDescent="0.3">
      <c r="H76" s="159"/>
      <c r="I76" s="159"/>
      <c r="J76" s="159"/>
      <c r="K76" s="159"/>
      <c r="L76" s="159"/>
    </row>
    <row r="77" spans="2:12" ht="14.4" hidden="1" customHeight="1" x14ac:dyDescent="0.3">
      <c r="H77" s="159"/>
      <c r="I77" s="159"/>
      <c r="J77" s="159"/>
      <c r="K77" s="159"/>
      <c r="L77" s="159"/>
    </row>
    <row r="78" spans="2:12" ht="12.75" hidden="1" customHeight="1" x14ac:dyDescent="0.3">
      <c r="C78" s="138">
        <f>CONVERT(D14,"lbm","kg")</f>
        <v>1.8267542546075084</v>
      </c>
      <c r="H78" s="159"/>
      <c r="I78" s="159"/>
      <c r="J78" s="159"/>
      <c r="K78" s="159"/>
      <c r="L78" s="159"/>
    </row>
    <row r="79" spans="2:12" ht="20.399999999999999" thickBot="1" x14ac:dyDescent="0.45">
      <c r="B79" s="147" t="s">
        <v>118</v>
      </c>
      <c r="C79" s="3"/>
      <c r="H79" s="159"/>
      <c r="I79" s="159"/>
      <c r="J79" s="159"/>
      <c r="K79" s="159"/>
      <c r="L79" s="159"/>
    </row>
    <row r="80" spans="2:12" ht="21" customHeight="1" thickTop="1" thickBot="1" x14ac:dyDescent="0.45">
      <c r="B80" s="2" t="s">
        <v>1</v>
      </c>
      <c r="C80" s="3">
        <f>11/C78/1000</f>
        <v>6.0216090764564443E-3</v>
      </c>
      <c r="H80" s="159"/>
      <c r="I80" s="159"/>
      <c r="J80" s="159"/>
      <c r="K80" s="159"/>
      <c r="L80" s="159"/>
    </row>
    <row r="81" spans="2:13" ht="21" customHeight="1" thickTop="1" thickBot="1" x14ac:dyDescent="0.45">
      <c r="B81" s="2" t="s">
        <v>36</v>
      </c>
      <c r="C81" s="32">
        <v>0.7</v>
      </c>
    </row>
    <row r="82" spans="2:13" ht="21" customHeight="1" thickTop="1" thickBot="1" x14ac:dyDescent="0.45">
      <c r="B82" s="2" t="s">
        <v>37</v>
      </c>
      <c r="C82" s="32">
        <v>0.76</v>
      </c>
      <c r="M82" s="154"/>
    </row>
    <row r="83" spans="2:13" ht="21" thickTop="1" thickBot="1" x14ac:dyDescent="0.45">
      <c r="B83" s="2" t="s">
        <v>38</v>
      </c>
      <c r="C83" s="32">
        <v>0.19</v>
      </c>
      <c r="M83" s="154"/>
    </row>
    <row r="84" spans="2:13" ht="21" thickTop="1" thickBot="1" x14ac:dyDescent="0.45">
      <c r="B84" s="2" t="s">
        <v>39</v>
      </c>
      <c r="C84" s="32">
        <v>0.71</v>
      </c>
      <c r="M84" s="154"/>
    </row>
    <row r="85" spans="2:13" ht="21" thickTop="1" thickBot="1" x14ac:dyDescent="0.45">
      <c r="B85" s="2" t="s">
        <v>41</v>
      </c>
      <c r="C85" s="32">
        <v>0.57999999999999996</v>
      </c>
      <c r="M85" s="154"/>
    </row>
    <row r="86" spans="2:13" ht="21" thickTop="1" thickBot="1" x14ac:dyDescent="0.45">
      <c r="B86" s="2" t="s">
        <v>40</v>
      </c>
      <c r="C86" s="32">
        <v>0.92</v>
      </c>
    </row>
    <row r="87" spans="2:13" ht="21" thickTop="1" thickBot="1" x14ac:dyDescent="0.45">
      <c r="B87" s="2" t="s">
        <v>46</v>
      </c>
      <c r="C87" s="32">
        <v>0.35</v>
      </c>
    </row>
    <row r="88" spans="2:13" ht="21" thickTop="1" thickBot="1" x14ac:dyDescent="0.45">
      <c r="B88" s="2" t="s">
        <v>42</v>
      </c>
      <c r="C88" s="3">
        <f>(((5.9/3.23)*8.5)/$C$78)/1000</f>
        <v>8.4994003710748885E-3</v>
      </c>
    </row>
    <row r="89" spans="2:13" ht="21" thickTop="1" thickBot="1" x14ac:dyDescent="0.45">
      <c r="B89" s="2" t="s">
        <v>43</v>
      </c>
      <c r="C89" s="3">
        <f>(((5.9/3.23)*4)/$C$78)/1000</f>
        <v>3.9997178216823002E-3</v>
      </c>
    </row>
    <row r="90" spans="2:13" ht="21" thickTop="1" thickBot="1" x14ac:dyDescent="0.45">
      <c r="B90" s="2" t="s">
        <v>44</v>
      </c>
      <c r="C90" s="3">
        <f>(((5.9/3.23)*4.4)/$C$78)/1000</f>
        <v>4.3996896038505312E-3</v>
      </c>
    </row>
    <row r="91" spans="2:13" ht="21" thickTop="1" thickBot="1" x14ac:dyDescent="0.45">
      <c r="B91" s="2" t="s">
        <v>45</v>
      </c>
      <c r="C91" s="3">
        <f>(((5.9/3.23)*2.4)/$C$78)/1000</f>
        <v>2.3998306930093798E-3</v>
      </c>
    </row>
    <row r="92" spans="2:13" ht="15" thickTop="1" x14ac:dyDescent="0.3">
      <c r="B92" s="155"/>
    </row>
  </sheetData>
  <sheetProtection algorithmName="SHA-512" hashValue="v/cV1nl6VpcgAMCA+wfyDe6np3yclA6BAqsMoh3Xp+JhNfX/sdMvsDJFFnTCu69ERwgkM8uCTaMprSTlArRPXw==" saltValue="h8vRFaWt11OHPltW40JPQQ==" spinCount="100000" sheet="1" selectLockedCells="1"/>
  <mergeCells count="4">
    <mergeCell ref="B16:D16"/>
    <mergeCell ref="B31:C31"/>
    <mergeCell ref="B32:C32"/>
    <mergeCell ref="H58:L80"/>
  </mergeCells>
  <conditionalFormatting sqref="E45:E47">
    <cfRule type="cellIs" dxfId="1" priority="1" operator="lessThan">
      <formula>100</formula>
    </cfRule>
  </conditionalFormatting>
  <dataValidations count="1">
    <dataValidation type="list" allowBlank="1" showInputMessage="1" showErrorMessage="1" sqref="B6" xr:uid="{44A837DE-3AE9-4F41-9A83-D17E19AA2A01}">
      <formula1>$B$19:$B$24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8FB1A-C83F-431E-8609-F720B420DDD0}">
  <sheetPr>
    <tabColor theme="0"/>
  </sheetPr>
  <dimension ref="A2:AP59"/>
  <sheetViews>
    <sheetView showGridLines="0" workbookViewId="0">
      <selection activeCell="A3" sqref="A3"/>
    </sheetView>
  </sheetViews>
  <sheetFormatPr defaultColWidth="9.109375" defaultRowHeight="14.4" x14ac:dyDescent="0.3"/>
  <cols>
    <col min="1" max="1" width="18.109375" style="33" bestFit="1" customWidth="1"/>
    <col min="2" max="2" width="9.109375" style="33"/>
    <col min="3" max="3" width="2.109375" style="33" customWidth="1"/>
    <col min="4" max="10" width="14" style="33" customWidth="1"/>
    <col min="11" max="11" width="2.88671875" style="33" customWidth="1"/>
    <col min="12" max="15" width="14" style="33" customWidth="1"/>
    <col min="16" max="16" width="2.88671875" style="33" customWidth="1"/>
    <col min="17" max="20" width="14" style="33" customWidth="1"/>
    <col min="21" max="21" width="2.88671875" style="33" customWidth="1"/>
    <col min="22" max="27" width="12" style="33" customWidth="1"/>
    <col min="28" max="31" width="14" style="33" customWidth="1"/>
    <col min="32" max="32" width="3.6640625" customWidth="1"/>
    <col min="33" max="33" width="11.88671875" style="33" customWidth="1"/>
    <col min="34" max="34" width="15.33203125" style="33" bestFit="1" customWidth="1"/>
    <col min="35" max="35" width="21.109375" style="33" bestFit="1" customWidth="1"/>
    <col min="36" max="36" width="6.6640625" style="33" bestFit="1" customWidth="1"/>
    <col min="37" max="37" width="9.109375" style="33"/>
    <col min="38" max="42" width="12" style="33" customWidth="1"/>
    <col min="43" max="16384" width="9.109375" style="33"/>
  </cols>
  <sheetData>
    <row r="2" spans="1:42" ht="15" thickBot="1" x14ac:dyDescent="0.35">
      <c r="M2" s="36"/>
    </row>
    <row r="3" spans="1:42" ht="15" thickBot="1" x14ac:dyDescent="0.35">
      <c r="AB3" s="161" t="s">
        <v>59</v>
      </c>
      <c r="AC3" s="162"/>
      <c r="AD3" s="162"/>
      <c r="AE3" s="163"/>
      <c r="AF3" s="33"/>
      <c r="AG3" s="38" t="s">
        <v>58</v>
      </c>
      <c r="AH3" s="39"/>
      <c r="AI3" s="40"/>
      <c r="AJ3" s="41"/>
    </row>
    <row r="4" spans="1:42" x14ac:dyDescent="0.3">
      <c r="A4" s="67"/>
      <c r="B4" s="68">
        <f>B8/B9</f>
        <v>1.4119717574856188</v>
      </c>
      <c r="D4" s="116" t="s">
        <v>52</v>
      </c>
      <c r="E4" s="58"/>
      <c r="F4" s="58"/>
      <c r="G4" s="40"/>
      <c r="H4" s="40"/>
      <c r="I4" s="40"/>
      <c r="J4" s="41"/>
      <c r="L4" s="161" t="s">
        <v>59</v>
      </c>
      <c r="M4" s="162"/>
      <c r="N4" s="162"/>
      <c r="O4" s="163"/>
      <c r="Q4" s="164" t="s">
        <v>58</v>
      </c>
      <c r="R4" s="165"/>
      <c r="S4" s="165"/>
      <c r="T4" s="166"/>
      <c r="AB4" s="42" t="s">
        <v>65</v>
      </c>
      <c r="AC4" s="43" t="s">
        <v>68</v>
      </c>
      <c r="AD4" s="43" t="s">
        <v>66</v>
      </c>
      <c r="AE4" s="61" t="s">
        <v>67</v>
      </c>
      <c r="AF4" s="33"/>
      <c r="AG4" s="42" t="s">
        <v>74</v>
      </c>
      <c r="AH4" s="43" t="s">
        <v>73</v>
      </c>
      <c r="AI4" s="44" t="s">
        <v>35</v>
      </c>
      <c r="AJ4" s="45" t="s">
        <v>34</v>
      </c>
    </row>
    <row r="5" spans="1:42" x14ac:dyDescent="0.3">
      <c r="A5" s="42" t="str">
        <f>'Maternal lines'!B6</f>
        <v>Dietary ME, Mcal/lb</v>
      </c>
      <c r="B5" s="69">
        <f>'Maternal lines'!C6</f>
        <v>1.4650000000000001</v>
      </c>
      <c r="D5" s="59"/>
      <c r="E5" s="60"/>
      <c r="F5" s="167" t="s">
        <v>94</v>
      </c>
      <c r="G5" s="167"/>
      <c r="H5" s="167" t="s">
        <v>70</v>
      </c>
      <c r="I5" s="167"/>
      <c r="J5" s="61"/>
      <c r="L5" s="62" t="s">
        <v>63</v>
      </c>
      <c r="M5" s="152" t="s">
        <v>55</v>
      </c>
      <c r="N5" s="152" t="s">
        <v>64</v>
      </c>
      <c r="O5" s="80" t="s">
        <v>55</v>
      </c>
      <c r="Q5" s="62" t="s">
        <v>61</v>
      </c>
      <c r="R5" s="124" t="s">
        <v>62</v>
      </c>
      <c r="S5" s="44" t="s">
        <v>9</v>
      </c>
      <c r="T5" s="45" t="s">
        <v>56</v>
      </c>
      <c r="V5" s="160" t="s">
        <v>95</v>
      </c>
      <c r="W5" s="160"/>
      <c r="X5" s="160" t="s">
        <v>97</v>
      </c>
      <c r="Y5" s="160"/>
      <c r="AB5" s="73">
        <f>CONVERT(L6,"kg","lbm")</f>
        <v>299.62701878628434</v>
      </c>
      <c r="AC5" s="74">
        <f>CONVERT(M6,"cm","in")</f>
        <v>35.15748031496063</v>
      </c>
      <c r="AD5" s="74">
        <f>CONVERT(N6,"kg","lbm")</f>
        <v>272.98016884536457</v>
      </c>
      <c r="AE5" s="75">
        <f>CONVERT(O6,"cm","in")</f>
        <v>33.937007874015748</v>
      </c>
      <c r="AF5" s="33"/>
      <c r="AG5" s="46" t="s">
        <v>75</v>
      </c>
      <c r="AH5" s="44" t="s">
        <v>60</v>
      </c>
      <c r="AI5" s="47" t="s">
        <v>53</v>
      </c>
      <c r="AJ5" s="48">
        <f>CONVERT(T6,"kg","lbm")</f>
        <v>4.0273037542662111</v>
      </c>
      <c r="AL5" s="160" t="s">
        <v>109</v>
      </c>
      <c r="AM5" s="160"/>
      <c r="AN5" s="160" t="s">
        <v>110</v>
      </c>
      <c r="AO5" s="160"/>
    </row>
    <row r="6" spans="1:42" x14ac:dyDescent="0.3">
      <c r="A6" s="42" t="s">
        <v>92</v>
      </c>
      <c r="B6" s="69">
        <f>CONVERT('Maternal lines'!D14,"lbm","kg")</f>
        <v>1.8267542546075084</v>
      </c>
      <c r="D6" s="62" t="s">
        <v>57</v>
      </c>
      <c r="E6" s="152" t="s">
        <v>69</v>
      </c>
      <c r="F6" s="152" t="s">
        <v>50</v>
      </c>
      <c r="G6" s="152" t="s">
        <v>49</v>
      </c>
      <c r="H6" s="152" t="s">
        <v>50</v>
      </c>
      <c r="I6" s="152" t="s">
        <v>49</v>
      </c>
      <c r="J6" s="80" t="s">
        <v>51</v>
      </c>
      <c r="L6" s="73">
        <f>((M6*0.0507) + 0.6139)^3</f>
        <v>135.90852956730524</v>
      </c>
      <c r="M6" s="152">
        <v>89.3</v>
      </c>
      <c r="N6" s="74">
        <f>((O6*0.0507) + 0.6139)^3</f>
        <v>123.82172174956908</v>
      </c>
      <c r="O6" s="45">
        <v>86.2</v>
      </c>
      <c r="Q6" s="46" t="s">
        <v>71</v>
      </c>
      <c r="R6" s="44" t="s">
        <v>72</v>
      </c>
      <c r="S6" s="44" t="s">
        <v>54</v>
      </c>
      <c r="T6" s="55">
        <f>VLOOKUP(FFM!B7,FFM!$F$7:$I$30,3)</f>
        <v>1.8267542546075084</v>
      </c>
      <c r="AB6" s="73">
        <f t="shared" ref="AB6:AB36" si="0">CONVERT(L7,"kg","lbm")</f>
        <v>304.08088847650538</v>
      </c>
      <c r="AC6" s="74">
        <f t="shared" ref="AC6:AC36" si="1">CONVERT(M7,"cm","in")</f>
        <v>35.354330708661422</v>
      </c>
      <c r="AD6" s="74">
        <f t="shared" ref="AD6:AD36" si="2">CONVERT(N7,"kg","lbm")</f>
        <v>277.166545820588</v>
      </c>
      <c r="AE6" s="75">
        <f t="shared" ref="AE6:AE36" si="3">CONVERT(O7,"cm","in")</f>
        <v>34.133858267716541</v>
      </c>
      <c r="AF6" s="33"/>
      <c r="AG6" s="49">
        <f>VLOOKUP(AI6,$AB$5:AC57,2,TRUE)</f>
        <v>39.29133858267717</v>
      </c>
      <c r="AH6" s="50">
        <f>VLOOKUP(AI6,$AD$5:$AE$57,2,TRUE)</f>
        <v>39.448818897637793</v>
      </c>
      <c r="AI6" s="47">
        <f>CONVERT(S7,"kg","lbm")</f>
        <v>407.85518504202349</v>
      </c>
      <c r="AJ6" s="48">
        <f t="shared" ref="AJ6:AJ12" si="4">CONVERT(T7,"kg","lbm")</f>
        <v>4.0273037542662111</v>
      </c>
    </row>
    <row r="7" spans="1:42" x14ac:dyDescent="0.3">
      <c r="A7" s="42" t="s">
        <v>93</v>
      </c>
      <c r="B7" s="70">
        <v>145</v>
      </c>
      <c r="D7" s="63">
        <f>((0.1*F7^0.75))</f>
        <v>3.9605028155702722</v>
      </c>
      <c r="E7" s="64">
        <f>D7/$B$10</f>
        <v>1.226248367581019</v>
      </c>
      <c r="F7" s="44">
        <v>135</v>
      </c>
      <c r="G7" s="47">
        <f>F7*2.204622</f>
        <v>297.62396999999999</v>
      </c>
      <c r="H7" s="64">
        <f>IF(CONVERT('Maternal lines'!$D$14,"lbm","kg")&gt;E7,CONVERT('Maternal lines'!$D$14,"lbm","kg"),E7)</f>
        <v>1.8267542546075084</v>
      </c>
      <c r="I7" s="50">
        <f>CONVERT(H7,"kg","lbm")</f>
        <v>4.0273037542662111</v>
      </c>
      <c r="J7" s="117">
        <f>($B$10*H7)/((0.1*F7^0.75))</f>
        <v>1.489709836035165</v>
      </c>
      <c r="L7" s="73">
        <f t="shared" ref="L7:L58" si="5">((M7*0.0507) + 0.6139)^3</f>
        <v>137.92877087576377</v>
      </c>
      <c r="M7" s="152">
        <f>M6+0.5</f>
        <v>89.8</v>
      </c>
      <c r="N7" s="74">
        <f t="shared" ref="N7:N58" si="6">((O7*0.0507) + 0.6139)^3</f>
        <v>125.72063040347409</v>
      </c>
      <c r="O7" s="80">
        <f>O6+0.5</f>
        <v>86.7</v>
      </c>
      <c r="Q7" s="49">
        <f t="shared" ref="Q7:Q13" si="7">VLOOKUP(S7,$L$6:$M$58,2,TRUE)</f>
        <v>99.8</v>
      </c>
      <c r="R7" s="50">
        <f t="shared" ref="R7:R13" si="8">VLOOKUP(S7,$N$6:$O$58,2,TRUE)</f>
        <v>100.2</v>
      </c>
      <c r="S7" s="44">
        <v>185</v>
      </c>
      <c r="T7" s="55">
        <f>VLOOKUP(S7,FFM!$F$7:$I$30,3)</f>
        <v>1.8267542546075084</v>
      </c>
      <c r="V7" s="120">
        <f t="shared" ref="V7:W9" si="9">(X7^(1/3)-0.6139)/0.0507</f>
        <v>89.342060931815624</v>
      </c>
      <c r="W7" s="120">
        <f t="shared" si="9"/>
        <v>98.138709190555716</v>
      </c>
      <c r="X7" s="37">
        <f>CONVERT(AN7,"lbm","kg")</f>
        <v>136.07771100000002</v>
      </c>
      <c r="Y7" s="37">
        <f>CONVERT(AO7,"lbm","kg")</f>
        <v>174.63306245000001</v>
      </c>
      <c r="Z7" s="120">
        <f>IF($B$10&gt;3.5,(100*(Y7^0.75))/($B$10*1000),(100*(Y7^0.75))/($B$10*1000))</f>
        <v>1.4873835308467698</v>
      </c>
      <c r="AB7" s="73">
        <f t="shared" si="0"/>
        <v>308.57867790322615</v>
      </c>
      <c r="AC7" s="74">
        <f t="shared" si="1"/>
        <v>35.551181102362207</v>
      </c>
      <c r="AD7" s="74">
        <f t="shared" si="2"/>
        <v>281.39550651806115</v>
      </c>
      <c r="AE7" s="75">
        <f t="shared" si="3"/>
        <v>34.330708661417326</v>
      </c>
      <c r="AF7" s="33"/>
      <c r="AG7" s="49">
        <f>VLOOKUP(AI7,$AB$5:AC58,2,TRUE)</f>
        <v>40.078740157480318</v>
      </c>
      <c r="AH7" s="50">
        <f t="shared" ref="AH7:AH12" si="10">VLOOKUP(AI7,$AD$5:$AE$57,2,TRUE)</f>
        <v>40.236220472440948</v>
      </c>
      <c r="AI7" s="47">
        <f t="shared" ref="AI7:AI12" si="11">CONVERT(S8,"kg","lbm")</f>
        <v>429.90141126051128</v>
      </c>
      <c r="AJ7" s="48">
        <f t="shared" si="4"/>
        <v>4.0273037542662111</v>
      </c>
      <c r="AL7" s="119">
        <f>CONVERT((X7^(1/3)-0.6139)/0.0507,"cm","in")</f>
        <v>35.174039736935292</v>
      </c>
      <c r="AM7" s="119">
        <f>CONVERT((Y7^(1/3)-0.6139)/0.0507,"cm","in")</f>
        <v>38.637287082895952</v>
      </c>
      <c r="AN7" s="37">
        <v>300</v>
      </c>
      <c r="AO7" s="37">
        <v>385</v>
      </c>
      <c r="AP7" s="120">
        <f>CONVERT(Z7,"kg","lbm")</f>
        <v>3.279119379470095</v>
      </c>
    </row>
    <row r="8" spans="1:42" x14ac:dyDescent="0.3">
      <c r="A8" s="42" t="s">
        <v>48</v>
      </c>
      <c r="B8" s="69">
        <f>B6*B10</f>
        <v>5.8999999999999995</v>
      </c>
      <c r="D8" s="63">
        <f t="shared" ref="D8:D30" si="12">((0.1*F8^0.75))</f>
        <v>4.0700151587775339</v>
      </c>
      <c r="E8" s="64">
        <f t="shared" ref="E8:E30" si="13">D8/$B$10</f>
        <v>1.2601555097650703</v>
      </c>
      <c r="F8" s="44">
        <v>140</v>
      </c>
      <c r="G8" s="47">
        <f t="shared" ref="G8:G30" si="14">F8*2.204622</f>
        <v>308.64708000000002</v>
      </c>
      <c r="H8" s="64">
        <f>IF(CONVERT('Maternal lines'!$D$14,"lbm","kg")&gt;E8,CONVERT('Maternal lines'!$D$14,"lbm","kg"),E8)</f>
        <v>1.8267542546075084</v>
      </c>
      <c r="I8" s="50">
        <f t="shared" ref="I8:I30" si="15">CONVERT(H8,"kg","lbm")</f>
        <v>4.0273037542662111</v>
      </c>
      <c r="J8" s="117">
        <f t="shared" ref="J8:J30" si="16">($B$10*H8)/((0.1*F8^0.75))</f>
        <v>1.4496260504769516</v>
      </c>
      <c r="L8" s="73">
        <f t="shared" si="5"/>
        <v>139.96893384159097</v>
      </c>
      <c r="M8" s="152">
        <v>90.3</v>
      </c>
      <c r="N8" s="74">
        <f t="shared" si="6"/>
        <v>127.63885470887783</v>
      </c>
      <c r="O8" s="80">
        <f>O7+0.5</f>
        <v>87.2</v>
      </c>
      <c r="Q8" s="49">
        <f t="shared" si="7"/>
        <v>101.8</v>
      </c>
      <c r="R8" s="50">
        <f t="shared" si="8"/>
        <v>102.2</v>
      </c>
      <c r="S8" s="44">
        <v>195</v>
      </c>
      <c r="T8" s="55">
        <f>VLOOKUP(S8,FFM!$F$7:$I$30,3)</f>
        <v>1.8267542546075084</v>
      </c>
      <c r="V8" s="120">
        <f t="shared" si="9"/>
        <v>98.23407878002709</v>
      </c>
      <c r="W8" s="120">
        <f t="shared" si="9"/>
        <v>103.1567111771655</v>
      </c>
      <c r="X8" s="37">
        <f t="shared" ref="X8:X9" si="17">CONVERT(AN8,"lbm","kg")</f>
        <v>175.08665482000001</v>
      </c>
      <c r="Y8" s="37">
        <f t="shared" ref="Y8:Y9" si="18">CONVERT(AO8,"lbm","kg")</f>
        <v>199.58064279999999</v>
      </c>
      <c r="Z8" s="120">
        <f>IF($B$10&gt;3.5,(100*(Y8^0.75))/($B$10*1000),(100*(Y8^0.75))/($B$10*1000))</f>
        <v>1.6440572197847001</v>
      </c>
      <c r="AB8" s="73">
        <f t="shared" si="0"/>
        <v>313.12060255261548</v>
      </c>
      <c r="AC8" s="74">
        <f t="shared" si="1"/>
        <v>35.748031496062993</v>
      </c>
      <c r="AD8" s="74">
        <f t="shared" si="2"/>
        <v>285.66726642395327</v>
      </c>
      <c r="AE8" s="75">
        <f t="shared" si="3"/>
        <v>34.527559055118111</v>
      </c>
      <c r="AF8" s="33"/>
      <c r="AG8" s="49">
        <f>VLOOKUP(AI8,$AB$5:AC59,2,TRUE)</f>
        <v>40.866141732283467</v>
      </c>
      <c r="AH8" s="50">
        <f t="shared" si="10"/>
        <v>40.826771653543304</v>
      </c>
      <c r="AI8" s="47">
        <f t="shared" si="11"/>
        <v>451.94763747899901</v>
      </c>
      <c r="AJ8" s="48">
        <f t="shared" si="4"/>
        <v>4.0273037542662111</v>
      </c>
      <c r="AL8" s="119">
        <f t="shared" ref="AL8:AL9" si="19">CONVERT((X8^(1/3)-0.6139)/0.0507,"cm","in")</f>
        <v>38.674834165364999</v>
      </c>
      <c r="AM8" s="119">
        <f t="shared" ref="AM8:AM9" si="20">CONVERT((Y8^(1/3)-0.6139)/0.0507,"cm","in")</f>
        <v>40.61287841620689</v>
      </c>
      <c r="AN8" s="37">
        <v>386</v>
      </c>
      <c r="AO8" s="37">
        <v>440</v>
      </c>
      <c r="AP8" s="120">
        <f t="shared" ref="AP8:AP9" si="21">CONVERT(Z8,"kg","lbm")</f>
        <v>3.6245257383511547</v>
      </c>
    </row>
    <row r="9" spans="1:42" ht="15" thickBot="1" x14ac:dyDescent="0.35">
      <c r="A9" s="71" t="s">
        <v>47</v>
      </c>
      <c r="B9" s="72">
        <f>B7^0.75*0.1</f>
        <v>4.1785538334750241</v>
      </c>
      <c r="D9" s="63">
        <f t="shared" si="12"/>
        <v>4.1785538334750241</v>
      </c>
      <c r="E9" s="64">
        <f t="shared" si="13"/>
        <v>1.2937611853232229</v>
      </c>
      <c r="F9" s="44">
        <v>145</v>
      </c>
      <c r="G9" s="47">
        <f t="shared" si="14"/>
        <v>319.67018999999999</v>
      </c>
      <c r="H9" s="64">
        <f>IF(CONVERT('Maternal lines'!$D$14,"lbm","kg")&gt;E9,CONVERT('Maternal lines'!$D$14,"lbm","kg"),E9)</f>
        <v>1.8267542546075084</v>
      </c>
      <c r="I9" s="50">
        <f t="shared" si="15"/>
        <v>4.0273037542662111</v>
      </c>
      <c r="J9" s="117">
        <f t="shared" si="16"/>
        <v>1.4119717574856188</v>
      </c>
      <c r="L9" s="73">
        <f t="shared" si="5"/>
        <v>142.02911620766892</v>
      </c>
      <c r="M9" s="152">
        <f t="shared" ref="M9" si="22">M8+0.5</f>
        <v>90.8</v>
      </c>
      <c r="N9" s="74">
        <f t="shared" si="6"/>
        <v>129.5764924086624</v>
      </c>
      <c r="O9" s="80">
        <f t="shared" ref="O9:O58" si="23">O8+0.5</f>
        <v>87.7</v>
      </c>
      <c r="Q9" s="49">
        <f t="shared" si="7"/>
        <v>103.8</v>
      </c>
      <c r="R9" s="50">
        <f t="shared" si="8"/>
        <v>103.7</v>
      </c>
      <c r="S9" s="44">
        <v>205</v>
      </c>
      <c r="T9" s="55">
        <f>VLOOKUP(S9,FFM!$F$7:$I$30,3)</f>
        <v>1.8267542546075084</v>
      </c>
      <c r="V9" s="120">
        <f t="shared" si="9"/>
        <v>103.24396722293251</v>
      </c>
      <c r="W9" s="120">
        <f t="shared" si="9"/>
        <v>108.17443682675058</v>
      </c>
      <c r="X9" s="37">
        <f t="shared" si="17"/>
        <v>200.03423517000002</v>
      </c>
      <c r="Y9" s="37">
        <f t="shared" si="18"/>
        <v>226.79618500000001</v>
      </c>
      <c r="Z9" s="120">
        <f>IF($B$10&gt;3.5,(100*(Y9^0.75))/($B$10*1000),(100*(Y9^0.75))/($B$10*1000))</f>
        <v>1.8094847384896422</v>
      </c>
      <c r="AB9" s="73">
        <f t="shared" si="0"/>
        <v>317.70687791084333</v>
      </c>
      <c r="AC9" s="74">
        <f t="shared" si="1"/>
        <v>35.944881889763778</v>
      </c>
      <c r="AD9" s="74">
        <f t="shared" si="2"/>
        <v>289.98204102443384</v>
      </c>
      <c r="AE9" s="75">
        <f t="shared" si="3"/>
        <v>34.724409448818896</v>
      </c>
      <c r="AF9" s="33"/>
      <c r="AG9" s="49">
        <f>VLOOKUP(AI9,$AB$5:AC60,2,TRUE)</f>
        <v>41.653543307086615</v>
      </c>
      <c r="AH9" s="50">
        <f t="shared" si="10"/>
        <v>41.614173228346452</v>
      </c>
      <c r="AI9" s="47">
        <f t="shared" si="11"/>
        <v>473.9938636974868</v>
      </c>
      <c r="AJ9" s="48">
        <f t="shared" si="4"/>
        <v>4.0273037542662111</v>
      </c>
      <c r="AL9" s="119">
        <f t="shared" si="19"/>
        <v>40.64723119013091</v>
      </c>
      <c r="AM9" s="119">
        <f t="shared" si="20"/>
        <v>42.588360955413613</v>
      </c>
      <c r="AN9" s="37">
        <v>441</v>
      </c>
      <c r="AO9" s="37">
        <v>500</v>
      </c>
      <c r="AP9" s="120">
        <f t="shared" si="21"/>
        <v>3.9892309883643815</v>
      </c>
    </row>
    <row r="10" spans="1:42" x14ac:dyDescent="0.3">
      <c r="A10" s="33" t="s">
        <v>129</v>
      </c>
      <c r="B10" s="153">
        <f>'Maternal lines'!C7/1000</f>
        <v>3.2297721410084566</v>
      </c>
      <c r="D10" s="63">
        <f t="shared" si="12"/>
        <v>4.2861606445481994</v>
      </c>
      <c r="E10" s="64">
        <f t="shared" si="13"/>
        <v>1.3270783378575737</v>
      </c>
      <c r="F10" s="44">
        <v>150</v>
      </c>
      <c r="G10" s="47">
        <f t="shared" si="14"/>
        <v>330.69330000000002</v>
      </c>
      <c r="H10" s="64">
        <f>IF(CONVERT('Maternal lines'!$D$14,"lbm","kg")&gt;E10,CONVERT('Maternal lines'!$D$14,"lbm","kg"),E10)</f>
        <v>1.8267542546075084</v>
      </c>
      <c r="I10" s="50">
        <f t="shared" si="15"/>
        <v>4.0273037542662111</v>
      </c>
      <c r="J10" s="117">
        <f t="shared" si="16"/>
        <v>1.376523301221696</v>
      </c>
      <c r="L10" s="73">
        <f t="shared" si="5"/>
        <v>144.10941571688008</v>
      </c>
      <c r="M10" s="152">
        <v>91.3</v>
      </c>
      <c r="N10" s="74">
        <f t="shared" si="6"/>
        <v>131.53364124571019</v>
      </c>
      <c r="O10" s="80">
        <f t="shared" si="23"/>
        <v>88.2</v>
      </c>
      <c r="Q10" s="49">
        <f t="shared" si="7"/>
        <v>105.8</v>
      </c>
      <c r="R10" s="50">
        <f t="shared" si="8"/>
        <v>105.7</v>
      </c>
      <c r="S10" s="44">
        <v>215</v>
      </c>
      <c r="T10" s="55">
        <f>VLOOKUP(S10,FFM!$F$7:$I$30,3)</f>
        <v>1.8267542546075084</v>
      </c>
      <c r="V10" s="119"/>
      <c r="W10" s="119"/>
      <c r="X10" s="37"/>
      <c r="Y10" s="37"/>
      <c r="Z10" s="120"/>
      <c r="AB10" s="73">
        <f t="shared" si="0"/>
        <v>322.33771946407848</v>
      </c>
      <c r="AC10" s="74">
        <f t="shared" si="1"/>
        <v>36.14173228346457</v>
      </c>
      <c r="AD10" s="74">
        <f t="shared" si="2"/>
        <v>294.34004580567199</v>
      </c>
      <c r="AE10" s="75">
        <f t="shared" si="3"/>
        <v>34.921259842519689</v>
      </c>
      <c r="AF10" s="33"/>
      <c r="AG10" s="49">
        <f>VLOOKUP(AI10,$AB$5:AC61,2,TRUE)</f>
        <v>42.440944881889763</v>
      </c>
      <c r="AH10" s="50">
        <f t="shared" si="10"/>
        <v>42.401574803149607</v>
      </c>
      <c r="AI10" s="47">
        <f t="shared" si="11"/>
        <v>496.04008991597453</v>
      </c>
      <c r="AJ10" s="48">
        <f t="shared" si="4"/>
        <v>4.0273037542662111</v>
      </c>
      <c r="AL10" s="119"/>
      <c r="AM10" s="119"/>
      <c r="AN10" s="37"/>
      <c r="AO10" s="37"/>
      <c r="AP10" s="120"/>
    </row>
    <row r="11" spans="1:42" x14ac:dyDescent="0.3">
      <c r="D11" s="63">
        <f t="shared" si="12"/>
        <v>4.3928742728289576</v>
      </c>
      <c r="E11" s="64">
        <f t="shared" si="13"/>
        <v>1.3601189437027397</v>
      </c>
      <c r="F11" s="44">
        <v>155</v>
      </c>
      <c r="G11" s="47">
        <f t="shared" si="14"/>
        <v>341.71641</v>
      </c>
      <c r="H11" s="64">
        <f>IF(CONVERT('Maternal lines'!$D$14,"lbm","kg")&gt;E11,CONVERT('Maternal lines'!$D$14,"lbm","kg"),E11)</f>
        <v>1.8267542546075084</v>
      </c>
      <c r="I11" s="50">
        <f t="shared" si="15"/>
        <v>4.0273037542662111</v>
      </c>
      <c r="J11" s="117">
        <f t="shared" si="16"/>
        <v>1.3430841935297346</v>
      </c>
      <c r="L11" s="73">
        <f t="shared" si="5"/>
        <v>146.20993011210649</v>
      </c>
      <c r="M11" s="152">
        <f t="shared" ref="M11" si="24">M10+0.5</f>
        <v>91.8</v>
      </c>
      <c r="N11" s="74">
        <f t="shared" si="6"/>
        <v>133.51039896290331</v>
      </c>
      <c r="O11" s="80">
        <f t="shared" si="23"/>
        <v>88.7</v>
      </c>
      <c r="Q11" s="49">
        <f t="shared" si="7"/>
        <v>107.8</v>
      </c>
      <c r="R11" s="50">
        <f t="shared" si="8"/>
        <v>107.7</v>
      </c>
      <c r="S11" s="44">
        <v>225</v>
      </c>
      <c r="T11" s="55">
        <f>VLOOKUP(S11,FFM!$F$7:$I$30,3)</f>
        <v>1.8267542546075084</v>
      </c>
      <c r="V11" s="119"/>
      <c r="W11" s="119"/>
      <c r="X11" s="37"/>
      <c r="Y11" s="37"/>
      <c r="Z11" s="120"/>
      <c r="AB11" s="73">
        <f t="shared" si="0"/>
        <v>327.01334269849065</v>
      </c>
      <c r="AC11" s="74">
        <f t="shared" si="1"/>
        <v>36.338582677165356</v>
      </c>
      <c r="AD11" s="74">
        <f t="shared" si="2"/>
        <v>298.74149625383723</v>
      </c>
      <c r="AE11" s="75">
        <f t="shared" si="3"/>
        <v>35.118110236220474</v>
      </c>
      <c r="AF11" s="33"/>
      <c r="AG11" s="49">
        <f>VLOOKUP(AI11,$AB$5:AC62,2,TRUE)</f>
        <v>43.031496062992126</v>
      </c>
      <c r="AH11" s="50">
        <f t="shared" si="10"/>
        <v>42.99212598425197</v>
      </c>
      <c r="AI11" s="47">
        <f t="shared" si="11"/>
        <v>518.08631613446232</v>
      </c>
      <c r="AJ11" s="48">
        <f t="shared" si="4"/>
        <v>4.0969746051532292</v>
      </c>
      <c r="AL11" s="119" t="s">
        <v>76</v>
      </c>
      <c r="AM11" s="119"/>
      <c r="AN11" s="37"/>
      <c r="AO11" s="37"/>
      <c r="AP11" s="120"/>
    </row>
    <row r="12" spans="1:42" ht="15" thickBot="1" x14ac:dyDescent="0.35">
      <c r="D12" s="63">
        <f t="shared" si="12"/>
        <v>4.4987306015227917</v>
      </c>
      <c r="E12" s="64">
        <f t="shared" si="13"/>
        <v>1.3928941129940264</v>
      </c>
      <c r="F12" s="44">
        <v>160</v>
      </c>
      <c r="G12" s="47">
        <f t="shared" si="14"/>
        <v>352.73952000000003</v>
      </c>
      <c r="H12" s="64">
        <f>IF(CONVERT('Maternal lines'!$D$14,"lbm","kg")&gt;E12,CONVERT('Maternal lines'!$D$14,"lbm","kg"),E12)</f>
        <v>1.8267542546075084</v>
      </c>
      <c r="I12" s="50">
        <f t="shared" si="15"/>
        <v>4.0273037542662111</v>
      </c>
      <c r="J12" s="117">
        <f t="shared" si="16"/>
        <v>1.3114810649037056</v>
      </c>
      <c r="L12" s="73">
        <f t="shared" si="5"/>
        <v>148.33075713623057</v>
      </c>
      <c r="M12" s="152">
        <v>92.3</v>
      </c>
      <c r="N12" s="74">
        <f t="shared" si="6"/>
        <v>135.50686330312416</v>
      </c>
      <c r="O12" s="80">
        <f t="shared" si="23"/>
        <v>89.2</v>
      </c>
      <c r="Q12" s="49">
        <f t="shared" si="7"/>
        <v>109.3</v>
      </c>
      <c r="R12" s="50">
        <f t="shared" si="8"/>
        <v>109.2</v>
      </c>
      <c r="S12" s="44">
        <v>235</v>
      </c>
      <c r="T12" s="55">
        <f>VLOOKUP(S12,FFM!$F$7:$I$30,3)</f>
        <v>1.8583564209812677</v>
      </c>
      <c r="V12" s="119"/>
      <c r="W12" s="119"/>
      <c r="X12" s="37"/>
      <c r="Y12" s="37"/>
      <c r="Z12" s="120"/>
      <c r="AB12" s="73">
        <f t="shared" si="0"/>
        <v>331.73396310024884</v>
      </c>
      <c r="AC12" s="74">
        <f t="shared" si="1"/>
        <v>36.535433070866141</v>
      </c>
      <c r="AD12" s="74">
        <f t="shared" si="2"/>
        <v>303.18660785509866</v>
      </c>
      <c r="AE12" s="75">
        <f t="shared" si="3"/>
        <v>35.314960629921259</v>
      </c>
      <c r="AF12" s="33"/>
      <c r="AG12" s="51">
        <f>VLOOKUP(AI12,$AB$5:AC63,2,TRUE)</f>
        <v>43.818897637795274</v>
      </c>
      <c r="AH12" s="52">
        <f t="shared" si="10"/>
        <v>43.779527559055111</v>
      </c>
      <c r="AI12" s="53">
        <f t="shared" si="11"/>
        <v>540.13254235295005</v>
      </c>
      <c r="AJ12" s="54">
        <f t="shared" si="4"/>
        <v>4.2270456554852309</v>
      </c>
      <c r="AL12" s="119"/>
      <c r="AM12" s="119"/>
      <c r="AN12" s="37"/>
      <c r="AO12" s="37"/>
      <c r="AP12" s="120"/>
    </row>
    <row r="13" spans="1:42" ht="15" thickBot="1" x14ac:dyDescent="0.35">
      <c r="D13" s="63">
        <f t="shared" si="12"/>
        <v>4.6037629994166149</v>
      </c>
      <c r="E13" s="64">
        <f t="shared" si="13"/>
        <v>1.4254141773540552</v>
      </c>
      <c r="F13" s="44">
        <v>165</v>
      </c>
      <c r="G13" s="47">
        <f t="shared" si="14"/>
        <v>363.76263</v>
      </c>
      <c r="H13" s="64">
        <f>IF(CONVERT('Maternal lines'!$D$14,"lbm","kg")&gt;E13,CONVERT('Maternal lines'!$D$14,"lbm","kg"),E13)</f>
        <v>1.8267542546075084</v>
      </c>
      <c r="I13" s="50">
        <f t="shared" si="15"/>
        <v>4.0273037542662111</v>
      </c>
      <c r="J13" s="117">
        <f t="shared" si="16"/>
        <v>1.2815603237498634</v>
      </c>
      <c r="L13" s="73">
        <f t="shared" si="5"/>
        <v>150.47199453213443</v>
      </c>
      <c r="M13" s="152">
        <f t="shared" ref="M13" si="25">M12+0.5</f>
        <v>92.8</v>
      </c>
      <c r="N13" s="74">
        <f t="shared" si="6"/>
        <v>137.52313200925482</v>
      </c>
      <c r="O13" s="80">
        <f t="shared" si="23"/>
        <v>89.7</v>
      </c>
      <c r="Q13" s="51">
        <f t="shared" si="7"/>
        <v>111.3</v>
      </c>
      <c r="R13" s="52">
        <f t="shared" si="8"/>
        <v>111.2</v>
      </c>
      <c r="S13" s="56">
        <v>245</v>
      </c>
      <c r="T13" s="57">
        <f>VLOOKUP(S13,FFM!$F$7:$I$30,3)</f>
        <v>1.9173556569697494</v>
      </c>
      <c r="V13" s="119"/>
      <c r="W13" s="119"/>
      <c r="X13" s="37"/>
      <c r="Y13" s="37"/>
      <c r="Z13" s="120"/>
      <c r="AB13" s="73">
        <f t="shared" si="0"/>
        <v>336.4997961555228</v>
      </c>
      <c r="AC13" s="74">
        <f t="shared" si="1"/>
        <v>36.732283464566933</v>
      </c>
      <c r="AD13" s="74">
        <f t="shared" si="2"/>
        <v>307.67559609562591</v>
      </c>
      <c r="AE13" s="75">
        <f t="shared" si="3"/>
        <v>35.511811023622052</v>
      </c>
      <c r="AF13" s="33"/>
      <c r="AG13" s="35"/>
      <c r="AH13" s="35"/>
      <c r="AL13" s="119"/>
      <c r="AM13" s="119"/>
      <c r="AN13" s="37"/>
      <c r="AO13" s="37"/>
      <c r="AP13" s="120"/>
    </row>
    <row r="14" spans="1:42" x14ac:dyDescent="0.3">
      <c r="D14" s="63">
        <f t="shared" si="12"/>
        <v>4.7080025677232822</v>
      </c>
      <c r="E14" s="64">
        <f t="shared" si="13"/>
        <v>1.4576887663206068</v>
      </c>
      <c r="F14" s="44">
        <v>170</v>
      </c>
      <c r="G14" s="47">
        <f t="shared" si="14"/>
        <v>374.78574000000003</v>
      </c>
      <c r="H14" s="64">
        <f>IF(CONVERT('Maternal lines'!$D$14,"lbm","kg")&gt;E14,CONVERT('Maternal lines'!$D$14,"lbm","kg"),E14)</f>
        <v>1.8267542546075084</v>
      </c>
      <c r="I14" s="50">
        <f t="shared" si="15"/>
        <v>4.0273037542662111</v>
      </c>
      <c r="J14" s="117">
        <f t="shared" si="16"/>
        <v>1.2531853827881723</v>
      </c>
      <c r="L14" s="73">
        <f t="shared" si="5"/>
        <v>152.63374004270048</v>
      </c>
      <c r="M14" s="152">
        <v>93.3</v>
      </c>
      <c r="N14" s="74">
        <f t="shared" si="6"/>
        <v>139.55930282417771</v>
      </c>
      <c r="O14" s="80">
        <f t="shared" si="23"/>
        <v>90.2</v>
      </c>
      <c r="V14" s="119"/>
      <c r="W14" s="119"/>
      <c r="X14" s="37"/>
      <c r="Y14" s="37"/>
      <c r="Z14" s="120"/>
      <c r="AB14" s="73">
        <f t="shared" si="0"/>
        <v>341.31105735048146</v>
      </c>
      <c r="AC14" s="74">
        <f t="shared" si="1"/>
        <v>36.929133858267718</v>
      </c>
      <c r="AD14" s="74">
        <f t="shared" si="2"/>
        <v>312.20867646158803</v>
      </c>
      <c r="AE14" s="75">
        <f t="shared" si="3"/>
        <v>35.708661417322837</v>
      </c>
      <c r="AF14" s="33"/>
      <c r="AG14" s="35"/>
      <c r="AH14" s="35"/>
      <c r="AL14" s="119"/>
      <c r="AM14" s="119"/>
      <c r="AN14" s="37"/>
      <c r="AO14" s="37"/>
      <c r="AP14" s="120"/>
    </row>
    <row r="15" spans="1:42" x14ac:dyDescent="0.3">
      <c r="D15" s="63">
        <f t="shared" si="12"/>
        <v>4.8114783561619801</v>
      </c>
      <c r="E15" s="64">
        <f t="shared" si="13"/>
        <v>1.4897268742492946</v>
      </c>
      <c r="F15" s="44">
        <v>175</v>
      </c>
      <c r="G15" s="47">
        <f t="shared" si="14"/>
        <v>385.80885000000001</v>
      </c>
      <c r="H15" s="64">
        <f>IF(CONVERT('Maternal lines'!$D$14,"lbm","kg")&gt;E15,CONVERT('Maternal lines'!$D$14,"lbm","kg"),E15)</f>
        <v>1.8267542546075084</v>
      </c>
      <c r="I15" s="50">
        <f t="shared" si="15"/>
        <v>4.0273037542662111</v>
      </c>
      <c r="J15" s="117">
        <f t="shared" si="16"/>
        <v>1.2262343428073343</v>
      </c>
      <c r="L15" s="73">
        <f t="shared" si="5"/>
        <v>154.8160914108108</v>
      </c>
      <c r="M15" s="152">
        <f t="shared" ref="M15" si="26">M14+0.5</f>
        <v>93.8</v>
      </c>
      <c r="N15" s="74">
        <f t="shared" si="6"/>
        <v>141.61547349077492</v>
      </c>
      <c r="O15" s="80">
        <f t="shared" si="23"/>
        <v>90.7</v>
      </c>
      <c r="V15" s="119"/>
      <c r="W15" s="119"/>
      <c r="X15" s="37"/>
      <c r="Y15" s="37"/>
      <c r="Z15" s="120"/>
      <c r="AB15" s="73">
        <f t="shared" si="0"/>
        <v>346.16796217129445</v>
      </c>
      <c r="AC15" s="74">
        <f t="shared" si="1"/>
        <v>37.125984251968504</v>
      </c>
      <c r="AD15" s="74">
        <f t="shared" si="2"/>
        <v>316.78606443915464</v>
      </c>
      <c r="AE15" s="75">
        <f t="shared" si="3"/>
        <v>35.905511811023622</v>
      </c>
      <c r="AF15" s="33"/>
      <c r="AG15" s="35"/>
      <c r="AH15" s="35"/>
      <c r="AL15" s="119"/>
      <c r="AM15" s="119"/>
      <c r="AN15" s="37"/>
      <c r="AO15" s="37"/>
      <c r="AP15" s="120"/>
    </row>
    <row r="16" spans="1:42" x14ac:dyDescent="0.3">
      <c r="D16" s="63">
        <f t="shared" si="12"/>
        <v>4.9142175528763206</v>
      </c>
      <c r="E16" s="64">
        <f t="shared" si="13"/>
        <v>1.5215369191158843</v>
      </c>
      <c r="F16" s="44">
        <v>180</v>
      </c>
      <c r="G16" s="47">
        <f t="shared" si="14"/>
        <v>396.83196000000004</v>
      </c>
      <c r="H16" s="64">
        <f>IF(CONVERT('Maternal lines'!$D$14,"lbm","kg")&gt;E16,CONVERT('Maternal lines'!$D$14,"lbm","kg"),E16)</f>
        <v>1.8267542546075084</v>
      </c>
      <c r="I16" s="50">
        <f t="shared" si="15"/>
        <v>4.0273037542662111</v>
      </c>
      <c r="J16" s="117">
        <f t="shared" si="16"/>
        <v>1.2005980477088758</v>
      </c>
      <c r="L16" s="73">
        <f t="shared" si="5"/>
        <v>157.0191463793478</v>
      </c>
      <c r="M16" s="152">
        <v>94.3</v>
      </c>
      <c r="N16" s="74">
        <f t="shared" si="6"/>
        <v>143.69174175192887</v>
      </c>
      <c r="O16" s="80">
        <f t="shared" si="23"/>
        <v>91.2</v>
      </c>
      <c r="V16" s="119"/>
      <c r="W16" s="119"/>
      <c r="X16" s="37"/>
      <c r="Y16" s="37"/>
      <c r="Z16" s="120"/>
      <c r="AB16" s="73">
        <f t="shared" si="0"/>
        <v>351.07072610413081</v>
      </c>
      <c r="AC16" s="74">
        <f t="shared" si="1"/>
        <v>37.322834645669289</v>
      </c>
      <c r="AD16" s="74">
        <f t="shared" si="2"/>
        <v>321.40797551449469</v>
      </c>
      <c r="AE16" s="75">
        <f t="shared" si="3"/>
        <v>36.102362204724407</v>
      </c>
      <c r="AF16" s="33"/>
      <c r="AG16" s="35"/>
      <c r="AH16" s="35"/>
      <c r="AL16" s="119"/>
      <c r="AM16" s="119"/>
      <c r="AN16" s="37"/>
      <c r="AO16" s="37"/>
      <c r="AP16" s="120"/>
    </row>
    <row r="17" spans="4:42" x14ac:dyDescent="0.3">
      <c r="D17" s="63">
        <f t="shared" si="12"/>
        <v>5.0162456519951801</v>
      </c>
      <c r="E17" s="64">
        <f t="shared" si="13"/>
        <v>1.5531267943963747</v>
      </c>
      <c r="F17" s="44">
        <v>185</v>
      </c>
      <c r="G17" s="47">
        <f t="shared" si="14"/>
        <v>407.85507000000001</v>
      </c>
      <c r="H17" s="64">
        <f>IF(CONVERT('Maternal lines'!$D$14,"lbm","kg")&gt;E17,CONVERT('Maternal lines'!$D$14,"lbm","kg"),E17)</f>
        <v>1.8267542546075084</v>
      </c>
      <c r="I17" s="50">
        <f t="shared" si="15"/>
        <v>4.0273037542662111</v>
      </c>
      <c r="J17" s="117">
        <f t="shared" si="16"/>
        <v>1.1761784428665911</v>
      </c>
      <c r="L17" s="73">
        <f t="shared" si="5"/>
        <v>159.24300269119357</v>
      </c>
      <c r="M17" s="152">
        <f t="shared" ref="M17" si="27">M16+0.5</f>
        <v>94.8</v>
      </c>
      <c r="N17" s="74">
        <f t="shared" si="6"/>
        <v>145.78820535052162</v>
      </c>
      <c r="O17" s="80">
        <f t="shared" si="23"/>
        <v>91.7</v>
      </c>
      <c r="V17" s="119"/>
      <c r="W17" s="119"/>
      <c r="X17" s="37"/>
      <c r="Y17" s="37"/>
      <c r="Z17" s="120"/>
      <c r="AB17" s="73">
        <f t="shared" si="0"/>
        <v>356.01956463516024</v>
      </c>
      <c r="AC17" s="74">
        <f t="shared" si="1"/>
        <v>37.519685039370081</v>
      </c>
      <c r="AD17" s="74">
        <f t="shared" si="2"/>
        <v>326.07462517377792</v>
      </c>
      <c r="AE17" s="75">
        <f t="shared" si="3"/>
        <v>36.2992125984252</v>
      </c>
      <c r="AF17" s="33"/>
      <c r="AG17" s="35"/>
      <c r="AH17" s="35"/>
      <c r="AL17" s="119"/>
      <c r="AM17" s="119"/>
      <c r="AN17" s="37"/>
      <c r="AO17" s="37"/>
      <c r="AP17" s="120"/>
    </row>
    <row r="18" spans="4:42" x14ac:dyDescent="0.3">
      <c r="D18" s="63">
        <f t="shared" si="12"/>
        <v>5.1175866020001495</v>
      </c>
      <c r="E18" s="64">
        <f t="shared" si="13"/>
        <v>1.5845039150044331</v>
      </c>
      <c r="F18" s="44">
        <v>190</v>
      </c>
      <c r="G18" s="47">
        <f t="shared" si="14"/>
        <v>418.87818000000004</v>
      </c>
      <c r="H18" s="64">
        <f>IF(CONVERT('Maternal lines'!$D$14,"lbm","kg")&gt;E18,CONVERT('Maternal lines'!$D$14,"lbm","kg"),E18)</f>
        <v>1.8267542546075084</v>
      </c>
      <c r="I18" s="50">
        <f t="shared" si="15"/>
        <v>4.0273037542662111</v>
      </c>
      <c r="J18" s="117">
        <f t="shared" si="16"/>
        <v>1.1528871827384519</v>
      </c>
      <c r="L18" s="73">
        <f t="shared" si="5"/>
        <v>161.48775808923051</v>
      </c>
      <c r="M18" s="152">
        <v>95.3</v>
      </c>
      <c r="N18" s="74">
        <f t="shared" si="6"/>
        <v>147.90496202943561</v>
      </c>
      <c r="O18" s="80">
        <f t="shared" si="23"/>
        <v>92.2</v>
      </c>
      <c r="X18" s="35"/>
      <c r="Y18" s="35"/>
      <c r="AB18" s="73">
        <f t="shared" si="0"/>
        <v>361.0146932505516</v>
      </c>
      <c r="AC18" s="74">
        <f t="shared" si="1"/>
        <v>37.716535433070867</v>
      </c>
      <c r="AD18" s="74">
        <f t="shared" si="2"/>
        <v>330.78622890317342</v>
      </c>
      <c r="AE18" s="75">
        <f t="shared" si="3"/>
        <v>36.496062992125985</v>
      </c>
      <c r="AF18" s="33"/>
      <c r="AG18" s="35"/>
      <c r="AH18" s="35"/>
      <c r="AN18" s="35"/>
      <c r="AO18" s="35"/>
    </row>
    <row r="19" spans="4:42" x14ac:dyDescent="0.3">
      <c r="D19" s="63">
        <f t="shared" si="12"/>
        <v>5.2182629375443934</v>
      </c>
      <c r="E19" s="64">
        <f t="shared" si="13"/>
        <v>1.6156752581050671</v>
      </c>
      <c r="F19" s="44">
        <v>195</v>
      </c>
      <c r="G19" s="47">
        <f t="shared" si="14"/>
        <v>429.90129000000002</v>
      </c>
      <c r="H19" s="64">
        <f>IF(CONVERT('Maternal lines'!$D$14,"lbm","kg")&gt;E19,CONVERT('Maternal lines'!$D$14,"lbm","kg"),E19)</f>
        <v>1.8267542546075084</v>
      </c>
      <c r="I19" s="50">
        <f t="shared" si="15"/>
        <v>4.0273037542662111</v>
      </c>
      <c r="J19" s="117">
        <f t="shared" si="16"/>
        <v>1.1306444444473351</v>
      </c>
      <c r="L19" s="73">
        <f t="shared" si="5"/>
        <v>163.75351031634071</v>
      </c>
      <c r="M19" s="152">
        <f t="shared" ref="M19" si="28">M18+0.5</f>
        <v>95.8</v>
      </c>
      <c r="N19" s="74">
        <f t="shared" si="6"/>
        <v>150.04210953155294</v>
      </c>
      <c r="O19" s="80">
        <f t="shared" si="23"/>
        <v>92.7</v>
      </c>
      <c r="AB19" s="73">
        <f t="shared" si="0"/>
        <v>366.05632743647476</v>
      </c>
      <c r="AC19" s="74">
        <f t="shared" si="1"/>
        <v>37.913385826771659</v>
      </c>
      <c r="AD19" s="74">
        <f t="shared" si="2"/>
        <v>335.54300218885066</v>
      </c>
      <c r="AE19" s="75">
        <f t="shared" si="3"/>
        <v>36.692913385826778</v>
      </c>
      <c r="AF19" s="33"/>
      <c r="AG19" s="35"/>
      <c r="AH19" s="35"/>
    </row>
    <row r="20" spans="4:42" x14ac:dyDescent="0.3">
      <c r="D20" s="63">
        <f t="shared" si="12"/>
        <v>5.3182958969449858</v>
      </c>
      <c r="E20" s="64">
        <f t="shared" si="13"/>
        <v>1.6466473994925268</v>
      </c>
      <c r="F20" s="44">
        <v>200</v>
      </c>
      <c r="G20" s="47">
        <f t="shared" si="14"/>
        <v>440.92439999999999</v>
      </c>
      <c r="H20" s="64">
        <f>IF(CONVERT('Maternal lines'!$D$14,"lbm","kg")&gt;E20,CONVERT('Maternal lines'!$D$14,"lbm","kg"),E20)</f>
        <v>1.8267542546075084</v>
      </c>
      <c r="I20" s="50">
        <f t="shared" si="15"/>
        <v>4.0273037542662111</v>
      </c>
      <c r="J20" s="117">
        <f t="shared" si="16"/>
        <v>1.1093779124604866</v>
      </c>
      <c r="L20" s="73">
        <f t="shared" si="5"/>
        <v>166.04035711540661</v>
      </c>
      <c r="M20" s="152">
        <v>96.3</v>
      </c>
      <c r="N20" s="74">
        <f t="shared" si="6"/>
        <v>152.19974559975597</v>
      </c>
      <c r="O20" s="80">
        <f t="shared" si="23"/>
        <v>93.2</v>
      </c>
      <c r="AB20" s="73">
        <f t="shared" si="0"/>
        <v>371.14468267909854</v>
      </c>
      <c r="AC20" s="74">
        <f t="shared" si="1"/>
        <v>38.110236220472444</v>
      </c>
      <c r="AD20" s="74">
        <f t="shared" si="2"/>
        <v>340.34516051697898</v>
      </c>
      <c r="AE20" s="75">
        <f t="shared" si="3"/>
        <v>36.889763779527556</v>
      </c>
      <c r="AF20" s="33"/>
      <c r="AG20" s="35"/>
      <c r="AH20" s="35"/>
    </row>
    <row r="21" spans="4:42" x14ac:dyDescent="0.3">
      <c r="D21" s="63">
        <f t="shared" si="12"/>
        <v>5.4177055272242818</v>
      </c>
      <c r="E21" s="64">
        <f t="shared" si="13"/>
        <v>1.6774265461131477</v>
      </c>
      <c r="F21" s="44">
        <v>205</v>
      </c>
      <c r="G21" s="47">
        <f t="shared" si="14"/>
        <v>451.94751000000002</v>
      </c>
      <c r="H21" s="64">
        <f>IF(CONVERT('Maternal lines'!$D$14,"lbm","kg")&gt;E21,CONVERT('Maternal lines'!$D$14,"lbm","kg"),E21)</f>
        <v>1.8267542546075084</v>
      </c>
      <c r="I21" s="50">
        <f t="shared" si="15"/>
        <v>4.0273037542662111</v>
      </c>
      <c r="J21" s="117">
        <f t="shared" si="16"/>
        <v>1.0890219061099131</v>
      </c>
      <c r="L21" s="73">
        <f t="shared" si="5"/>
        <v>168.34839622931028</v>
      </c>
      <c r="M21" s="152">
        <f t="shared" ref="M21" si="29">M20+0.5</f>
        <v>96.8</v>
      </c>
      <c r="N21" s="74">
        <f t="shared" si="6"/>
        <v>154.37796797692693</v>
      </c>
      <c r="O21" s="80">
        <f t="shared" si="23"/>
        <v>93.7</v>
      </c>
      <c r="AB21" s="73">
        <f t="shared" si="0"/>
        <v>376.27997446459278</v>
      </c>
      <c r="AC21" s="74">
        <f t="shared" si="1"/>
        <v>38.30708661417323</v>
      </c>
      <c r="AD21" s="74">
        <f t="shared" si="2"/>
        <v>345.19291937372742</v>
      </c>
      <c r="AE21" s="75">
        <f t="shared" si="3"/>
        <v>37.086614173228348</v>
      </c>
      <c r="AF21" s="33"/>
      <c r="AG21" s="35"/>
      <c r="AH21" s="35"/>
    </row>
    <row r="22" spans="4:42" x14ac:dyDescent="0.3">
      <c r="D22" s="63">
        <f t="shared" si="12"/>
        <v>5.5165107782907299</v>
      </c>
      <c r="E22" s="64">
        <f t="shared" si="13"/>
        <v>1.7080185652255542</v>
      </c>
      <c r="F22" s="44">
        <v>210</v>
      </c>
      <c r="G22" s="47">
        <f t="shared" si="14"/>
        <v>462.97062</v>
      </c>
      <c r="H22" s="64">
        <f>IF(CONVERT('Maternal lines'!$D$14,"lbm","kg")&gt;E22,CONVERT('Maternal lines'!$D$14,"lbm","kg"),E22)</f>
        <v>1.8267542546075084</v>
      </c>
      <c r="I22" s="50">
        <f t="shared" si="15"/>
        <v>4.0273037542662111</v>
      </c>
      <c r="J22" s="117">
        <f t="shared" si="16"/>
        <v>1.0695166269262855</v>
      </c>
      <c r="L22" s="73">
        <f t="shared" si="5"/>
        <v>170.67772540093412</v>
      </c>
      <c r="M22" s="152">
        <v>97.3</v>
      </c>
      <c r="N22" s="74">
        <f t="shared" si="6"/>
        <v>156.57687440594793</v>
      </c>
      <c r="O22" s="80">
        <f t="shared" si="23"/>
        <v>94.2</v>
      </c>
      <c r="AB22" s="73">
        <f t="shared" si="0"/>
        <v>381.46241827912633</v>
      </c>
      <c r="AC22" s="74">
        <f t="shared" si="1"/>
        <v>38.503937007874015</v>
      </c>
      <c r="AD22" s="74">
        <f t="shared" si="2"/>
        <v>350.08649424526573</v>
      </c>
      <c r="AE22" s="75">
        <f t="shared" si="3"/>
        <v>37.283464566929133</v>
      </c>
      <c r="AF22" s="33"/>
      <c r="AG22" s="35"/>
      <c r="AH22" s="35"/>
    </row>
    <row r="23" spans="4:42" x14ac:dyDescent="0.3">
      <c r="D23" s="63">
        <f t="shared" si="12"/>
        <v>5.6147295876135157</v>
      </c>
      <c r="E23" s="64">
        <f t="shared" si="13"/>
        <v>1.7384290106175682</v>
      </c>
      <c r="F23" s="44">
        <v>215</v>
      </c>
      <c r="G23" s="47">
        <f t="shared" si="14"/>
        <v>473.99373000000003</v>
      </c>
      <c r="H23" s="64">
        <f>IF(CONVERT('Maternal lines'!$D$14,"lbm","kg")&gt;E23,CONVERT('Maternal lines'!$D$14,"lbm","kg"),E23)</f>
        <v>1.8267542546075084</v>
      </c>
      <c r="I23" s="50">
        <f t="shared" si="15"/>
        <v>4.0273037542662111</v>
      </c>
      <c r="J23" s="117">
        <f t="shared" si="16"/>
        <v>1.0508075069217599</v>
      </c>
      <c r="L23" s="73">
        <f t="shared" si="5"/>
        <v>173.02844237316023</v>
      </c>
      <c r="M23" s="152">
        <f t="shared" ref="M23" si="30">M22+0.5</f>
        <v>97.8</v>
      </c>
      <c r="N23" s="74">
        <f t="shared" si="6"/>
        <v>158.79656262970144</v>
      </c>
      <c r="O23" s="80">
        <f t="shared" si="23"/>
        <v>94.7</v>
      </c>
      <c r="AB23" s="73">
        <f t="shared" si="0"/>
        <v>386.6922296088689</v>
      </c>
      <c r="AC23" s="74">
        <f t="shared" si="1"/>
        <v>38.700787401574807</v>
      </c>
      <c r="AD23" s="74">
        <f t="shared" si="2"/>
        <v>355.02610061776278</v>
      </c>
      <c r="AE23" s="75">
        <f t="shared" si="3"/>
        <v>37.480314960629919</v>
      </c>
      <c r="AF23" s="33"/>
      <c r="AG23" s="35"/>
      <c r="AH23" s="35"/>
    </row>
    <row r="24" spans="4:42" x14ac:dyDescent="0.3">
      <c r="D24" s="63">
        <f t="shared" si="12"/>
        <v>5.7123789565487444</v>
      </c>
      <c r="E24" s="64">
        <f t="shared" si="13"/>
        <v>1.7686631462382745</v>
      </c>
      <c r="F24" s="44">
        <v>220</v>
      </c>
      <c r="G24" s="47">
        <f t="shared" si="14"/>
        <v>485.01684</v>
      </c>
      <c r="H24" s="64">
        <f>IF(CONVERT('Maternal lines'!$D$14,"lbm","kg")&gt;E24,CONVERT('Maternal lines'!$D$14,"lbm","kg"),E24)</f>
        <v>1.8267542546075084</v>
      </c>
      <c r="I24" s="50">
        <f t="shared" si="15"/>
        <v>4.0273037542662111</v>
      </c>
      <c r="J24" s="117">
        <f t="shared" si="16"/>
        <v>1.0328446422897353</v>
      </c>
      <c r="L24" s="73">
        <f t="shared" si="5"/>
        <v>175.40064488887103</v>
      </c>
      <c r="M24" s="152">
        <v>98.3</v>
      </c>
      <c r="N24" s="74">
        <f t="shared" si="6"/>
        <v>161.0371303910695</v>
      </c>
      <c r="O24" s="80">
        <f t="shared" si="23"/>
        <v>95.2</v>
      </c>
      <c r="AB24" s="73">
        <f t="shared" si="0"/>
        <v>391.9696239399895</v>
      </c>
      <c r="AC24" s="74">
        <f t="shared" si="1"/>
        <v>38.897637795275593</v>
      </c>
      <c r="AD24" s="74">
        <f t="shared" si="2"/>
        <v>360.01195397738843</v>
      </c>
      <c r="AE24" s="75">
        <f t="shared" si="3"/>
        <v>37.677165354330711</v>
      </c>
      <c r="AF24" s="33"/>
      <c r="AG24" s="35"/>
      <c r="AH24" s="35"/>
    </row>
    <row r="25" spans="4:42" x14ac:dyDescent="0.3">
      <c r="D25" s="63">
        <f t="shared" si="12"/>
        <v>5.8094750193111242</v>
      </c>
      <c r="E25" s="64">
        <f t="shared" si="13"/>
        <v>1.7987259675529887</v>
      </c>
      <c r="F25" s="44">
        <v>225</v>
      </c>
      <c r="G25" s="47">
        <f t="shared" si="14"/>
        <v>496.03995000000003</v>
      </c>
      <c r="H25" s="64">
        <f>IF(CONVERT('Maternal lines'!$D$14,"lbm","kg")&gt;E25,CONVERT('Maternal lines'!$D$14,"lbm","kg"),E25)</f>
        <v>1.8267542546075084</v>
      </c>
      <c r="I25" s="50">
        <f t="shared" si="15"/>
        <v>4.0273037542662111</v>
      </c>
      <c r="J25" s="117">
        <f t="shared" si="16"/>
        <v>1.0155822996721673</v>
      </c>
      <c r="L25" s="73">
        <f t="shared" si="5"/>
        <v>177.79443069094859</v>
      </c>
      <c r="M25" s="152">
        <f t="shared" ref="M25" si="31">M24+0.5</f>
        <v>98.8</v>
      </c>
      <c r="N25" s="74">
        <f t="shared" si="6"/>
        <v>163.29867543293454</v>
      </c>
      <c r="O25" s="80">
        <f t="shared" si="23"/>
        <v>95.7</v>
      </c>
      <c r="AB25" s="73">
        <f t="shared" si="0"/>
        <v>397.29481675865782</v>
      </c>
      <c r="AC25" s="74">
        <f t="shared" si="1"/>
        <v>39.094488188976378</v>
      </c>
      <c r="AD25" s="74">
        <f t="shared" si="2"/>
        <v>365.0442698103115</v>
      </c>
      <c r="AE25" s="75">
        <f t="shared" si="3"/>
        <v>37.874015748031496</v>
      </c>
      <c r="AF25" s="33"/>
      <c r="AG25" s="35"/>
      <c r="AH25" s="35"/>
    </row>
    <row r="26" spans="4:42" x14ac:dyDescent="0.3">
      <c r="D26" s="63">
        <f t="shared" si="12"/>
        <v>5.9060331054471007</v>
      </c>
      <c r="E26" s="64">
        <f t="shared" si="13"/>
        <v>1.8286222208861505</v>
      </c>
      <c r="F26" s="44">
        <v>230</v>
      </c>
      <c r="G26" s="47">
        <f t="shared" si="14"/>
        <v>507.06306000000001</v>
      </c>
      <c r="H26" s="64">
        <f>IF(CONVERT('Maternal lines'!$D$14,"lbm","kg")&gt;E26,CONVERT('Maternal lines'!$D$14,"lbm","kg"),E26)</f>
        <v>1.8286222208861505</v>
      </c>
      <c r="I26" s="50">
        <f t="shared" si="15"/>
        <v>4.0314219149809558</v>
      </c>
      <c r="J26" s="117">
        <f t="shared" si="16"/>
        <v>1</v>
      </c>
      <c r="L26" s="73">
        <f t="shared" si="5"/>
        <v>180.20989752227533</v>
      </c>
      <c r="M26" s="152">
        <v>99.3</v>
      </c>
      <c r="N26" s="74">
        <f t="shared" si="6"/>
        <v>165.58129549817866</v>
      </c>
      <c r="O26" s="80">
        <f t="shared" si="23"/>
        <v>96.2</v>
      </c>
      <c r="AB26" s="73">
        <f t="shared" si="0"/>
        <v>402.66802355104295</v>
      </c>
      <c r="AC26" s="74">
        <f t="shared" si="1"/>
        <v>39.29133858267717</v>
      </c>
      <c r="AD26" s="74">
        <f t="shared" si="2"/>
        <v>370.1232636027018</v>
      </c>
      <c r="AE26" s="75">
        <f t="shared" si="3"/>
        <v>38.070866141732289</v>
      </c>
      <c r="AF26" s="33"/>
      <c r="AG26" s="35"/>
      <c r="AH26" s="35"/>
    </row>
    <row r="27" spans="4:42" x14ac:dyDescent="0.3">
      <c r="D27" s="63">
        <f t="shared" si="12"/>
        <v>6.0020677965494817</v>
      </c>
      <c r="E27" s="64">
        <f t="shared" si="13"/>
        <v>1.8583564209812677</v>
      </c>
      <c r="F27" s="44">
        <v>235</v>
      </c>
      <c r="G27" s="47">
        <f t="shared" si="14"/>
        <v>518.08617000000004</v>
      </c>
      <c r="H27" s="64">
        <f>IF(CONVERT('Maternal lines'!$D$14,"lbm","kg")&gt;E27,CONVERT('Maternal lines'!$D$14,"lbm","kg"),E27)</f>
        <v>1.8583564209812677</v>
      </c>
      <c r="I27" s="50">
        <f t="shared" si="15"/>
        <v>4.0969746051532292</v>
      </c>
      <c r="J27" s="117">
        <f t="shared" si="16"/>
        <v>1</v>
      </c>
      <c r="L27" s="73">
        <f t="shared" si="5"/>
        <v>182.64714312573341</v>
      </c>
      <c r="M27" s="152">
        <f t="shared" ref="M27" si="32">M26+0.5</f>
        <v>99.8</v>
      </c>
      <c r="N27" s="74">
        <f t="shared" si="6"/>
        <v>167.88508832968427</v>
      </c>
      <c r="O27" s="80">
        <f t="shared" si="23"/>
        <v>96.7</v>
      </c>
      <c r="AB27" s="73">
        <f t="shared" si="0"/>
        <v>408.08945980331418</v>
      </c>
      <c r="AC27" s="74">
        <f t="shared" si="1"/>
        <v>39.488188976377948</v>
      </c>
      <c r="AD27" s="74">
        <f t="shared" si="2"/>
        <v>375.24915084072819</v>
      </c>
      <c r="AE27" s="75">
        <f t="shared" si="3"/>
        <v>38.267716535433067</v>
      </c>
      <c r="AF27" s="33"/>
      <c r="AG27" s="35"/>
      <c r="AH27" s="35"/>
    </row>
    <row r="28" spans="4:42" x14ac:dyDescent="0.3">
      <c r="D28" s="63">
        <f t="shared" si="12"/>
        <v>6.097592977855375</v>
      </c>
      <c r="E28" s="64">
        <f t="shared" si="13"/>
        <v>1.8879328669766395</v>
      </c>
      <c r="F28" s="44">
        <v>240</v>
      </c>
      <c r="G28" s="47">
        <f t="shared" si="14"/>
        <v>529.10928000000001</v>
      </c>
      <c r="H28" s="64">
        <f>IF(CONVERT('Maternal lines'!$D$14,"lbm","kg")&gt;E28,CONVERT('Maternal lines'!$D$14,"lbm","kg"),E28)</f>
        <v>1.8879328669766395</v>
      </c>
      <c r="I28" s="50">
        <f t="shared" si="15"/>
        <v>4.1621795070685152</v>
      </c>
      <c r="J28" s="117">
        <f t="shared" si="16"/>
        <v>1</v>
      </c>
      <c r="L28" s="73">
        <f t="shared" si="5"/>
        <v>185.10626524420502</v>
      </c>
      <c r="M28" s="152">
        <v>100.3</v>
      </c>
      <c r="N28" s="74">
        <f t="shared" si="6"/>
        <v>170.2101516703334</v>
      </c>
      <c r="O28" s="80">
        <f t="shared" si="23"/>
        <v>97.2</v>
      </c>
      <c r="AB28" s="73">
        <f t="shared" si="0"/>
        <v>413.5593410016412</v>
      </c>
      <c r="AC28" s="74">
        <f t="shared" si="1"/>
        <v>39.685039370078741</v>
      </c>
      <c r="AD28" s="74">
        <f t="shared" si="2"/>
        <v>380.42214701056048</v>
      </c>
      <c r="AE28" s="75">
        <f t="shared" si="3"/>
        <v>38.464566929133859</v>
      </c>
      <c r="AF28" s="33"/>
      <c r="AG28" s="35"/>
      <c r="AH28" s="35"/>
    </row>
    <row r="29" spans="4:42" x14ac:dyDescent="0.3">
      <c r="D29" s="63">
        <f t="shared" si="12"/>
        <v>6.1926218852858632</v>
      </c>
      <c r="E29" s="64">
        <f t="shared" si="13"/>
        <v>1.9173556569697494</v>
      </c>
      <c r="F29" s="44">
        <v>245</v>
      </c>
      <c r="G29" s="47">
        <f t="shared" si="14"/>
        <v>540.13238999999999</v>
      </c>
      <c r="H29" s="64">
        <f>IF(CONVERT('Maternal lines'!$D$14,"lbm","kg")&gt;E29,CONVERT('Maternal lines'!$D$14,"lbm","kg"),E29)</f>
        <v>1.9173556569697494</v>
      </c>
      <c r="I29" s="50">
        <f t="shared" si="15"/>
        <v>4.2270456554852309</v>
      </c>
      <c r="J29" s="117">
        <f t="shared" si="16"/>
        <v>1</v>
      </c>
      <c r="L29" s="73">
        <f t="shared" si="5"/>
        <v>187.58736162057261</v>
      </c>
      <c r="M29" s="152">
        <f t="shared" ref="M29" si="33">M28+0.5</f>
        <v>100.8</v>
      </c>
      <c r="N29" s="74">
        <f t="shared" si="6"/>
        <v>172.55658326300855</v>
      </c>
      <c r="O29" s="80">
        <f t="shared" si="23"/>
        <v>97.7</v>
      </c>
      <c r="AB29" s="73">
        <f t="shared" si="0"/>
        <v>419.07788263219271</v>
      </c>
      <c r="AC29" s="74">
        <f t="shared" si="1"/>
        <v>39.881889763779526</v>
      </c>
      <c r="AD29" s="74">
        <f t="shared" si="2"/>
        <v>385.6424675983676</v>
      </c>
      <c r="AE29" s="75">
        <f t="shared" si="3"/>
        <v>38.661417322834644</v>
      </c>
      <c r="AF29" s="33"/>
      <c r="AG29" s="35"/>
      <c r="AH29" s="35"/>
    </row>
    <row r="30" spans="4:42" ht="15" thickBot="1" x14ac:dyDescent="0.35">
      <c r="D30" s="65">
        <f t="shared" si="12"/>
        <v>6.2871671484146754</v>
      </c>
      <c r="E30" s="66">
        <f t="shared" si="13"/>
        <v>1.9466287013211976</v>
      </c>
      <c r="F30" s="56">
        <v>250</v>
      </c>
      <c r="G30" s="53">
        <f t="shared" si="14"/>
        <v>551.15550000000007</v>
      </c>
      <c r="H30" s="66">
        <f>IF(CONVERT('Maternal lines'!$D$14,"lbm","kg")&gt;E30,CONVERT('Maternal lines'!$D$14,"lbm","kg"),E30)</f>
        <v>1.9466287013211976</v>
      </c>
      <c r="I30" s="52">
        <f t="shared" si="15"/>
        <v>4.2915816712728159</v>
      </c>
      <c r="J30" s="118">
        <f t="shared" si="16"/>
        <v>1</v>
      </c>
      <c r="L30" s="73">
        <f t="shared" si="5"/>
        <v>190.09052999771814</v>
      </c>
      <c r="M30" s="152">
        <v>101.3</v>
      </c>
      <c r="N30" s="74">
        <f t="shared" si="6"/>
        <v>174.92448085059178</v>
      </c>
      <c r="O30" s="80">
        <f t="shared" si="23"/>
        <v>98.2</v>
      </c>
      <c r="AB30" s="73">
        <f t="shared" si="0"/>
        <v>424.64530018113868</v>
      </c>
      <c r="AC30" s="74">
        <f t="shared" si="1"/>
        <v>40.078740157480318</v>
      </c>
      <c r="AD30" s="74">
        <f t="shared" si="2"/>
        <v>390.91032809031918</v>
      </c>
      <c r="AE30" s="75">
        <f t="shared" si="3"/>
        <v>38.858267716535437</v>
      </c>
      <c r="AF30" s="33"/>
      <c r="AG30" s="35"/>
      <c r="AH30" s="35"/>
    </row>
    <row r="31" spans="4:42" x14ac:dyDescent="0.3">
      <c r="L31" s="73">
        <f t="shared" si="5"/>
        <v>192.61586811852413</v>
      </c>
      <c r="M31" s="152">
        <f t="shared" ref="M31" si="34">M30+0.5</f>
        <v>101.8</v>
      </c>
      <c r="N31" s="74">
        <f t="shared" si="6"/>
        <v>177.31394217596545</v>
      </c>
      <c r="O31" s="80">
        <f t="shared" si="23"/>
        <v>98.7</v>
      </c>
      <c r="AB31" s="73">
        <f t="shared" si="0"/>
        <v>430.26180913464799</v>
      </c>
      <c r="AC31" s="74">
        <f t="shared" si="1"/>
        <v>40.275590551181104</v>
      </c>
      <c r="AD31" s="74">
        <f t="shared" si="2"/>
        <v>396.22594397258433</v>
      </c>
      <c r="AE31" s="75">
        <f t="shared" si="3"/>
        <v>39.055118110236222</v>
      </c>
      <c r="AF31" s="33"/>
    </row>
    <row r="32" spans="4:42" x14ac:dyDescent="0.3">
      <c r="L32" s="73">
        <f t="shared" si="5"/>
        <v>195.16347372587265</v>
      </c>
      <c r="M32" s="152">
        <v>102.3</v>
      </c>
      <c r="N32" s="74">
        <f t="shared" si="6"/>
        <v>179.72506498201173</v>
      </c>
      <c r="O32" s="80">
        <f t="shared" si="23"/>
        <v>99.2</v>
      </c>
      <c r="AB32" s="73">
        <f t="shared" si="0"/>
        <v>435.92762497889038</v>
      </c>
      <c r="AC32" s="74">
        <f t="shared" si="1"/>
        <v>40.472440944881889</v>
      </c>
      <c r="AD32" s="74">
        <f t="shared" si="2"/>
        <v>401.5895307313325</v>
      </c>
      <c r="AE32" s="75">
        <f t="shared" si="3"/>
        <v>39.251968503937007</v>
      </c>
      <c r="AF32" s="33"/>
    </row>
    <row r="33" spans="12:32" x14ac:dyDescent="0.3">
      <c r="L33" s="73">
        <f t="shared" si="5"/>
        <v>197.7334445626461</v>
      </c>
      <c r="M33" s="152">
        <f t="shared" ref="M33" si="35">M32+0.5</f>
        <v>102.8</v>
      </c>
      <c r="N33" s="74">
        <f t="shared" si="6"/>
        <v>182.15794701161295</v>
      </c>
      <c r="O33" s="80">
        <f t="shared" si="23"/>
        <v>99.7</v>
      </c>
      <c r="AB33" s="73">
        <f t="shared" si="0"/>
        <v>441.64296320003484</v>
      </c>
      <c r="AC33" s="74">
        <f t="shared" si="1"/>
        <v>40.669291338582674</v>
      </c>
      <c r="AD33" s="74">
        <f t="shared" si="2"/>
        <v>407.00130385273297</v>
      </c>
      <c r="AE33" s="75">
        <f t="shared" si="3"/>
        <v>39.448818897637793</v>
      </c>
      <c r="AF33" s="33"/>
    </row>
    <row r="34" spans="12:32" x14ac:dyDescent="0.3">
      <c r="L34" s="73">
        <f t="shared" si="5"/>
        <v>200.32587837172659</v>
      </c>
      <c r="M34" s="152">
        <v>103.3</v>
      </c>
      <c r="N34" s="74">
        <f t="shared" si="6"/>
        <v>184.61268600765129</v>
      </c>
      <c r="O34" s="80">
        <f t="shared" si="23"/>
        <v>100.2</v>
      </c>
      <c r="AB34" s="73">
        <f t="shared" si="0"/>
        <v>447.40803928425089</v>
      </c>
      <c r="AC34" s="74">
        <f t="shared" si="1"/>
        <v>40.866141732283467</v>
      </c>
      <c r="AD34" s="74">
        <f t="shared" si="2"/>
        <v>412.4614788229552</v>
      </c>
      <c r="AE34" s="75">
        <f t="shared" si="3"/>
        <v>39.645669291338585</v>
      </c>
      <c r="AF34" s="33"/>
    </row>
    <row r="35" spans="12:32" x14ac:dyDescent="0.3">
      <c r="L35" s="73">
        <f t="shared" si="5"/>
        <v>202.94087289599648</v>
      </c>
      <c r="M35" s="152">
        <f t="shared" ref="M35" si="36">M34+0.5</f>
        <v>103.8</v>
      </c>
      <c r="N35" s="74">
        <f t="shared" si="6"/>
        <v>187.08937971300907</v>
      </c>
      <c r="O35" s="80">
        <f t="shared" si="23"/>
        <v>100.7</v>
      </c>
      <c r="AB35" s="73">
        <f t="shared" si="0"/>
        <v>453.22306871770763</v>
      </c>
      <c r="AC35" s="74">
        <f t="shared" si="1"/>
        <v>41.062992125984259</v>
      </c>
      <c r="AD35" s="74">
        <f t="shared" si="2"/>
        <v>417.97027112816824</v>
      </c>
      <c r="AE35" s="75">
        <f t="shared" si="3"/>
        <v>39.84251968503937</v>
      </c>
    </row>
    <row r="36" spans="12:32" x14ac:dyDescent="0.3">
      <c r="L36" s="73">
        <f t="shared" si="5"/>
        <v>205.57852587833787</v>
      </c>
      <c r="M36" s="152">
        <v>104.3</v>
      </c>
      <c r="N36" s="74">
        <f t="shared" si="6"/>
        <v>189.58812587056843</v>
      </c>
      <c r="O36" s="80">
        <f t="shared" si="23"/>
        <v>101.2</v>
      </c>
      <c r="AB36" s="73">
        <f t="shared" si="0"/>
        <v>459.08826698657487</v>
      </c>
      <c r="AC36" s="74">
        <f t="shared" si="1"/>
        <v>41.259842519685037</v>
      </c>
      <c r="AD36" s="74">
        <f t="shared" si="2"/>
        <v>423.52789625454193</v>
      </c>
      <c r="AE36" s="75">
        <f t="shared" si="3"/>
        <v>40.039370078740156</v>
      </c>
    </row>
    <row r="37" spans="12:32" x14ac:dyDescent="0.3">
      <c r="L37" s="73">
        <f t="shared" si="5"/>
        <v>208.23893506163324</v>
      </c>
      <c r="M37" s="152">
        <f t="shared" ref="M37" si="37">M36+0.5</f>
        <v>104.8</v>
      </c>
      <c r="N37" s="74">
        <f t="shared" si="6"/>
        <v>192.10902222321178</v>
      </c>
      <c r="O37" s="80">
        <f t="shared" si="23"/>
        <v>101.7</v>
      </c>
      <c r="AB37" s="73">
        <f t="shared" ref="AB37:AB57" si="38">CONVERT(L38,"kg","lbm")</f>
        <v>465.0038495770213</v>
      </c>
      <c r="AC37" s="74">
        <f t="shared" ref="AC37:AC57" si="39">CONVERT(M38,"cm","in")</f>
        <v>41.456692913385822</v>
      </c>
      <c r="AD37" s="74">
        <f t="shared" ref="AD37:AD57" si="40">CONVERT(N38,"kg","lbm")</f>
        <v>429.13456968824499</v>
      </c>
      <c r="AE37" s="75">
        <f t="shared" ref="AE37:AE57" si="41">CONVERT(O38,"cm","in")</f>
        <v>40.236220472440948</v>
      </c>
    </row>
    <row r="38" spans="12:32" x14ac:dyDescent="0.3">
      <c r="L38" s="73">
        <f t="shared" si="5"/>
        <v>210.92219818876458</v>
      </c>
      <c r="M38" s="152">
        <v>105.3</v>
      </c>
      <c r="N38" s="74">
        <f t="shared" si="6"/>
        <v>194.65216651382121</v>
      </c>
      <c r="O38" s="80">
        <f t="shared" si="23"/>
        <v>102.2</v>
      </c>
      <c r="AB38" s="73">
        <f t="shared" si="38"/>
        <v>470.97003197521673</v>
      </c>
      <c r="AC38" s="74">
        <f t="shared" si="39"/>
        <v>41.653543307086615</v>
      </c>
      <c r="AD38" s="74">
        <f t="shared" si="40"/>
        <v>434.79050691544717</v>
      </c>
      <c r="AE38" s="75">
        <f t="shared" si="41"/>
        <v>40.433070866141733</v>
      </c>
    </row>
    <row r="39" spans="12:32" x14ac:dyDescent="0.3">
      <c r="L39" s="73">
        <f t="shared" si="5"/>
        <v>213.62841300261437</v>
      </c>
      <c r="M39" s="152">
        <f t="shared" ref="M39" si="42">M38+0.5</f>
        <v>105.8</v>
      </c>
      <c r="N39" s="74">
        <f t="shared" si="6"/>
        <v>197.21765648527909</v>
      </c>
      <c r="O39" s="80">
        <f t="shared" si="23"/>
        <v>102.7</v>
      </c>
      <c r="AB39" s="73">
        <f t="shared" si="38"/>
        <v>476.98702966733038</v>
      </c>
      <c r="AC39" s="74">
        <f t="shared" si="39"/>
        <v>41.8503937007874</v>
      </c>
      <c r="AD39" s="74">
        <f t="shared" si="40"/>
        <v>440.49592342231756</v>
      </c>
      <c r="AE39" s="75">
        <f t="shared" si="41"/>
        <v>40.629921259842519</v>
      </c>
    </row>
    <row r="40" spans="12:32" x14ac:dyDescent="0.3">
      <c r="L40" s="73">
        <f t="shared" si="5"/>
        <v>216.3576772460647</v>
      </c>
      <c r="M40" s="152">
        <v>106.3</v>
      </c>
      <c r="N40" s="74">
        <f t="shared" si="6"/>
        <v>199.80558988046755</v>
      </c>
      <c r="O40" s="80">
        <f t="shared" si="23"/>
        <v>103.2</v>
      </c>
      <c r="AB40" s="73">
        <f t="shared" si="38"/>
        <v>483.05505813953158</v>
      </c>
      <c r="AC40" s="74">
        <f t="shared" si="39"/>
        <v>42.047244094488185</v>
      </c>
      <c r="AD40" s="74">
        <f t="shared" si="40"/>
        <v>446.25103469502591</v>
      </c>
      <c r="AE40" s="75">
        <f t="shared" si="41"/>
        <v>40.826771653543304</v>
      </c>
    </row>
    <row r="41" spans="12:32" x14ac:dyDescent="0.3">
      <c r="L41" s="73">
        <f t="shared" si="5"/>
        <v>219.11008866199793</v>
      </c>
      <c r="M41" s="152">
        <f t="shared" ref="M41" si="43">M40+0.5</f>
        <v>106.8</v>
      </c>
      <c r="N41" s="74">
        <f t="shared" si="6"/>
        <v>202.41606444226903</v>
      </c>
      <c r="O41" s="80">
        <f t="shared" si="23"/>
        <v>103.7</v>
      </c>
      <c r="AB41" s="73">
        <f t="shared" si="38"/>
        <v>489.17433287798951</v>
      </c>
      <c r="AC41" s="74">
        <f t="shared" si="39"/>
        <v>42.244094488188978</v>
      </c>
      <c r="AD41" s="74">
        <f t="shared" si="40"/>
        <v>452.05605621974087</v>
      </c>
      <c r="AE41" s="75">
        <f t="shared" si="41"/>
        <v>41.023622047244096</v>
      </c>
    </row>
    <row r="42" spans="12:32" x14ac:dyDescent="0.3">
      <c r="L42" s="73">
        <f t="shared" si="5"/>
        <v>221.88574499329619</v>
      </c>
      <c r="M42" s="152">
        <v>107.3</v>
      </c>
      <c r="N42" s="74">
        <f t="shared" si="6"/>
        <v>205.0491779135655</v>
      </c>
      <c r="O42" s="80">
        <f t="shared" si="23"/>
        <v>104.2</v>
      </c>
      <c r="AB42" s="73">
        <f t="shared" si="38"/>
        <v>495.34506936887385</v>
      </c>
      <c r="AC42" s="74">
        <f t="shared" si="39"/>
        <v>42.440944881889763</v>
      </c>
      <c r="AD42" s="74">
        <f t="shared" si="40"/>
        <v>457.91120348263235</v>
      </c>
      <c r="AE42" s="75">
        <f t="shared" si="41"/>
        <v>41.220472440944889</v>
      </c>
    </row>
    <row r="43" spans="12:32" x14ac:dyDescent="0.3">
      <c r="L43" s="73">
        <f t="shared" si="5"/>
        <v>224.68474398284189</v>
      </c>
      <c r="M43" s="152">
        <f t="shared" ref="M43" si="44">M42+0.5</f>
        <v>107.8</v>
      </c>
      <c r="N43" s="74">
        <f t="shared" si="6"/>
        <v>207.70502803723949</v>
      </c>
      <c r="O43" s="80">
        <f t="shared" si="23"/>
        <v>104.7</v>
      </c>
      <c r="AB43" s="73">
        <f t="shared" si="38"/>
        <v>501.56748309835353</v>
      </c>
      <c r="AC43" s="74">
        <f t="shared" si="39"/>
        <v>42.637795275590555</v>
      </c>
      <c r="AD43" s="74">
        <f t="shared" si="40"/>
        <v>463.81669196986945</v>
      </c>
      <c r="AE43" s="75">
        <f t="shared" si="41"/>
        <v>41.417322834645667</v>
      </c>
    </row>
    <row r="44" spans="12:32" x14ac:dyDescent="0.3">
      <c r="L44" s="73">
        <f t="shared" si="5"/>
        <v>227.50718337351711</v>
      </c>
      <c r="M44" s="152">
        <v>108.3</v>
      </c>
      <c r="N44" s="74">
        <f t="shared" si="6"/>
        <v>210.38371255617307</v>
      </c>
      <c r="O44" s="80">
        <f t="shared" si="23"/>
        <v>105.2</v>
      </c>
      <c r="AB44" s="73">
        <f t="shared" si="38"/>
        <v>507.84178955259819</v>
      </c>
      <c r="AC44" s="74">
        <f t="shared" si="39"/>
        <v>42.834645669291341</v>
      </c>
      <c r="AD44" s="74">
        <f t="shared" si="40"/>
        <v>469.7727371676217</v>
      </c>
      <c r="AE44" s="75">
        <f t="shared" si="41"/>
        <v>41.614173228346452</v>
      </c>
    </row>
    <row r="45" spans="12:32" x14ac:dyDescent="0.3">
      <c r="L45" s="73">
        <f t="shared" si="5"/>
        <v>230.35316090820425</v>
      </c>
      <c r="M45" s="152">
        <f t="shared" ref="M45" si="45">M44+0.5</f>
        <v>108.8</v>
      </c>
      <c r="N45" s="74">
        <f t="shared" si="6"/>
        <v>213.08532921324863</v>
      </c>
      <c r="O45" s="80">
        <f t="shared" si="23"/>
        <v>105.7</v>
      </c>
      <c r="AB45" s="73">
        <f t="shared" si="38"/>
        <v>514.16820421777686</v>
      </c>
      <c r="AC45" s="74">
        <f t="shared" si="39"/>
        <v>43.031496062992126</v>
      </c>
      <c r="AD45" s="74">
        <f t="shared" si="40"/>
        <v>475.77955456205831</v>
      </c>
      <c r="AE45" s="75">
        <f t="shared" si="41"/>
        <v>41.811023622047244</v>
      </c>
    </row>
    <row r="46" spans="12:32" x14ac:dyDescent="0.3">
      <c r="L46" s="73">
        <f t="shared" si="5"/>
        <v>233.22277432978541</v>
      </c>
      <c r="M46" s="152">
        <v>109.3</v>
      </c>
      <c r="N46" s="74">
        <f t="shared" si="6"/>
        <v>215.80997575134833</v>
      </c>
      <c r="O46" s="80">
        <f t="shared" si="23"/>
        <v>106.2</v>
      </c>
      <c r="AB46" s="73">
        <f t="shared" si="38"/>
        <v>520.54694258005918</v>
      </c>
      <c r="AC46" s="74">
        <f t="shared" si="39"/>
        <v>43.228346456692918</v>
      </c>
      <c r="AD46" s="74">
        <f t="shared" si="40"/>
        <v>481.83735963934828</v>
      </c>
      <c r="AE46" s="75">
        <f t="shared" si="41"/>
        <v>42.00787401574803</v>
      </c>
    </row>
    <row r="47" spans="12:32" x14ac:dyDescent="0.3">
      <c r="L47" s="73">
        <f t="shared" si="5"/>
        <v>236.11612138114299</v>
      </c>
      <c r="M47" s="152">
        <f t="shared" ref="M47" si="46">M46+0.5</f>
        <v>109.8</v>
      </c>
      <c r="N47" s="74">
        <f t="shared" si="6"/>
        <v>218.55774991335434</v>
      </c>
      <c r="O47" s="80">
        <f t="shared" si="23"/>
        <v>106.7</v>
      </c>
      <c r="AB47" s="73">
        <f t="shared" si="38"/>
        <v>526.97822012561437</v>
      </c>
      <c r="AC47" s="74">
        <f t="shared" si="39"/>
        <v>43.425196850393704</v>
      </c>
      <c r="AD47" s="74">
        <f t="shared" si="40"/>
        <v>487.9463678856614</v>
      </c>
      <c r="AE47" s="75">
        <f t="shared" si="41"/>
        <v>42.204724409448822</v>
      </c>
    </row>
    <row r="48" spans="12:32" x14ac:dyDescent="0.3">
      <c r="L48" s="73">
        <f t="shared" si="5"/>
        <v>239.03329980515912</v>
      </c>
      <c r="M48" s="152">
        <v>110.3</v>
      </c>
      <c r="N48" s="74">
        <f t="shared" si="6"/>
        <v>221.32874944214907</v>
      </c>
      <c r="O48" s="80">
        <f t="shared" si="23"/>
        <v>107.2</v>
      </c>
      <c r="AB48" s="73">
        <f t="shared" si="38"/>
        <v>533.46225234061171</v>
      </c>
      <c r="AC48" s="74">
        <f t="shared" si="39"/>
        <v>43.622047244094496</v>
      </c>
      <c r="AD48" s="74">
        <f t="shared" si="40"/>
        <v>494.10679478716679</v>
      </c>
      <c r="AE48" s="75">
        <f t="shared" si="41"/>
        <v>42.401574803149607</v>
      </c>
    </row>
    <row r="49" spans="12:31" x14ac:dyDescent="0.3">
      <c r="L49" s="73">
        <f t="shared" si="5"/>
        <v>241.97440734471613</v>
      </c>
      <c r="M49" s="152">
        <f t="shared" ref="M49" si="47">M48+0.5</f>
        <v>110.8</v>
      </c>
      <c r="N49" s="74">
        <f t="shared" si="6"/>
        <v>224.12307208061463</v>
      </c>
      <c r="O49" s="80">
        <f t="shared" si="23"/>
        <v>107.7</v>
      </c>
      <c r="AB49" s="73">
        <f t="shared" si="38"/>
        <v>539.9992547112206</v>
      </c>
      <c r="AC49" s="74">
        <f t="shared" si="39"/>
        <v>43.818897637795274</v>
      </c>
      <c r="AD49" s="74">
        <f t="shared" si="40"/>
        <v>500.31885583003401</v>
      </c>
      <c r="AE49" s="75">
        <f t="shared" si="41"/>
        <v>42.598425196850393</v>
      </c>
    </row>
    <row r="50" spans="12:31" x14ac:dyDescent="0.3">
      <c r="L50" s="73">
        <f t="shared" si="5"/>
        <v>244.93954174269624</v>
      </c>
      <c r="M50" s="152">
        <v>111.3</v>
      </c>
      <c r="N50" s="74">
        <f t="shared" si="6"/>
        <v>226.94081557163344</v>
      </c>
      <c r="O50" s="80">
        <f t="shared" si="23"/>
        <v>108.2</v>
      </c>
      <c r="AB50" s="73">
        <f t="shared" si="38"/>
        <v>546.58944272361055</v>
      </c>
      <c r="AC50" s="74">
        <f t="shared" si="39"/>
        <v>44.015748031496059</v>
      </c>
      <c r="AD50" s="74">
        <f t="shared" si="40"/>
        <v>506.582766500432</v>
      </c>
      <c r="AE50" s="75">
        <f t="shared" si="41"/>
        <v>42.795275590551185</v>
      </c>
    </row>
    <row r="51" spans="12:31" x14ac:dyDescent="0.3">
      <c r="L51" s="73">
        <f t="shared" si="5"/>
        <v>247.92880074198175</v>
      </c>
      <c r="M51" s="152">
        <f t="shared" ref="M51" si="48">M50+0.5</f>
        <v>111.8</v>
      </c>
      <c r="N51" s="74">
        <f t="shared" si="6"/>
        <v>229.78207765808756</v>
      </c>
      <c r="O51" s="80">
        <f t="shared" si="23"/>
        <v>108.7</v>
      </c>
      <c r="AB51" s="73">
        <f t="shared" si="38"/>
        <v>553.2330318639506</v>
      </c>
      <c r="AC51" s="74">
        <f t="shared" si="39"/>
        <v>44.212598425196852</v>
      </c>
      <c r="AD51" s="74">
        <f t="shared" si="40"/>
        <v>512.8987422845305</v>
      </c>
      <c r="AE51" s="75">
        <f t="shared" si="41"/>
        <v>42.99212598425197</v>
      </c>
    </row>
    <row r="52" spans="12:31" x14ac:dyDescent="0.3">
      <c r="L52" s="73">
        <f t="shared" si="5"/>
        <v>250.94228208545485</v>
      </c>
      <c r="M52" s="152">
        <v>112.3</v>
      </c>
      <c r="N52" s="74">
        <f t="shared" si="6"/>
        <v>232.64695608285939</v>
      </c>
      <c r="O52" s="80">
        <f t="shared" si="23"/>
        <v>109.2</v>
      </c>
      <c r="AB52" s="73">
        <f t="shared" si="38"/>
        <v>559.93023761840982</v>
      </c>
      <c r="AC52" s="74">
        <f t="shared" si="39"/>
        <v>44.409448818897637</v>
      </c>
      <c r="AD52" s="74">
        <f t="shared" si="40"/>
        <v>519.26699866849833</v>
      </c>
      <c r="AE52" s="75">
        <f t="shared" si="41"/>
        <v>43.188976377952763</v>
      </c>
    </row>
    <row r="53" spans="12:31" x14ac:dyDescent="0.3">
      <c r="L53" s="73">
        <f t="shared" si="5"/>
        <v>253.98008351599771</v>
      </c>
      <c r="M53" s="152">
        <f t="shared" ref="M53" si="49">M52+0.5</f>
        <v>112.8</v>
      </c>
      <c r="N53" s="74">
        <f t="shared" si="6"/>
        <v>235.53554858883103</v>
      </c>
      <c r="O53" s="80">
        <f t="shared" si="23"/>
        <v>109.7</v>
      </c>
      <c r="AB53" s="73">
        <f t="shared" si="38"/>
        <v>566.68127547315817</v>
      </c>
      <c r="AC53" s="74">
        <f t="shared" si="39"/>
        <v>44.606299212598422</v>
      </c>
      <c r="AD53" s="74">
        <f t="shared" si="40"/>
        <v>525.68775113850552</v>
      </c>
      <c r="AE53" s="75">
        <f t="shared" si="41"/>
        <v>43.385826771653548</v>
      </c>
    </row>
    <row r="54" spans="12:31" x14ac:dyDescent="0.3">
      <c r="L54" s="73">
        <f t="shared" si="5"/>
        <v>257.0423027764927</v>
      </c>
      <c r="M54" s="152">
        <v>113.3</v>
      </c>
      <c r="N54" s="74">
        <f t="shared" si="6"/>
        <v>238.44795291888494</v>
      </c>
      <c r="O54" s="80">
        <f t="shared" si="23"/>
        <v>110.2</v>
      </c>
      <c r="AB54" s="73">
        <f t="shared" si="38"/>
        <v>573.4863609143647</v>
      </c>
      <c r="AC54" s="74">
        <f t="shared" si="39"/>
        <v>44.803149606299215</v>
      </c>
      <c r="AD54" s="74">
        <f t="shared" si="40"/>
        <v>532.16121518072077</v>
      </c>
      <c r="AE54" s="75">
        <f t="shared" si="41"/>
        <v>43.582677165354333</v>
      </c>
    </row>
    <row r="55" spans="12:31" x14ac:dyDescent="0.3">
      <c r="L55" s="73">
        <f t="shared" si="5"/>
        <v>260.12903760982203</v>
      </c>
      <c r="M55" s="152">
        <f t="shared" ref="M55" si="50">M54+0.5</f>
        <v>113.8</v>
      </c>
      <c r="N55" s="74">
        <f t="shared" si="6"/>
        <v>241.38426681590315</v>
      </c>
      <c r="O55" s="80">
        <f t="shared" si="23"/>
        <v>110.7</v>
      </c>
      <c r="AB55" s="73">
        <f t="shared" si="38"/>
        <v>580.3457094281988</v>
      </c>
      <c r="AC55" s="74">
        <f t="shared" si="39"/>
        <v>45</v>
      </c>
      <c r="AD55" s="74">
        <f t="shared" si="40"/>
        <v>538.68760628131395</v>
      </c>
      <c r="AE55" s="75">
        <f t="shared" si="41"/>
        <v>43.779527559055111</v>
      </c>
    </row>
    <row r="56" spans="12:31" x14ac:dyDescent="0.3">
      <c r="L56" s="73">
        <f t="shared" si="5"/>
        <v>263.24038575886806</v>
      </c>
      <c r="M56" s="152">
        <v>114.3</v>
      </c>
      <c r="N56" s="74">
        <f t="shared" si="6"/>
        <v>244.34458802276808</v>
      </c>
      <c r="O56" s="80">
        <f t="shared" si="23"/>
        <v>111.2</v>
      </c>
      <c r="AB56" s="73">
        <f t="shared" si="38"/>
        <v>587.25953650082954</v>
      </c>
      <c r="AC56" s="74">
        <f t="shared" si="39"/>
        <v>45.196850393700792</v>
      </c>
      <c r="AD56" s="74">
        <f t="shared" si="40"/>
        <v>545.26713992645409</v>
      </c>
      <c r="AE56" s="75">
        <f t="shared" si="41"/>
        <v>43.976377952755904</v>
      </c>
    </row>
    <row r="57" spans="12:31" ht="15" thickBot="1" x14ac:dyDescent="0.35">
      <c r="L57" s="73">
        <f t="shared" si="5"/>
        <v>266.37644496651279</v>
      </c>
      <c r="M57" s="152">
        <f t="shared" ref="M57" si="51">M56+0.5</f>
        <v>114.8</v>
      </c>
      <c r="N57" s="74">
        <f t="shared" si="6"/>
        <v>247.3290142823619</v>
      </c>
      <c r="O57" s="80">
        <f t="shared" si="23"/>
        <v>111.7</v>
      </c>
      <c r="AB57" s="76">
        <f t="shared" si="38"/>
        <v>594.22805761842676</v>
      </c>
      <c r="AC57" s="78">
        <f t="shared" si="39"/>
        <v>45.393700787401578</v>
      </c>
      <c r="AD57" s="78">
        <f t="shared" si="40"/>
        <v>551.90003160231026</v>
      </c>
      <c r="AE57" s="79">
        <f t="shared" si="41"/>
        <v>44.173228346456689</v>
      </c>
    </row>
    <row r="58" spans="12:31" ht="15" thickBot="1" x14ac:dyDescent="0.35">
      <c r="L58" s="76">
        <f t="shared" si="5"/>
        <v>269.53731297563877</v>
      </c>
      <c r="M58" s="77">
        <v>115.3</v>
      </c>
      <c r="N58" s="78">
        <f t="shared" si="6"/>
        <v>250.33764333756685</v>
      </c>
      <c r="O58" s="81">
        <f t="shared" si="23"/>
        <v>112.2</v>
      </c>
      <c r="AB58" s="37"/>
      <c r="AC58" s="37"/>
    </row>
    <row r="59" spans="12:31" x14ac:dyDescent="0.3">
      <c r="L59" s="37"/>
      <c r="M59" s="125"/>
      <c r="AB59" s="37"/>
      <c r="AC59" s="37"/>
    </row>
  </sheetData>
  <mergeCells count="9">
    <mergeCell ref="AN5:AO5"/>
    <mergeCell ref="AB3:AE3"/>
    <mergeCell ref="L4:O4"/>
    <mergeCell ref="Q4:T4"/>
    <mergeCell ref="F5:G5"/>
    <mergeCell ref="H5:I5"/>
    <mergeCell ref="V5:W5"/>
    <mergeCell ref="X5:Y5"/>
    <mergeCell ref="AL5:AM5"/>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8CA1-5C71-4F2D-99AB-F624BAEE28BE}">
  <sheetPr>
    <tabColor theme="0"/>
  </sheetPr>
  <dimension ref="B1:H91"/>
  <sheetViews>
    <sheetView showGridLines="0" zoomScale="70" zoomScaleNormal="70" workbookViewId="0">
      <selection activeCell="C59" sqref="C59"/>
    </sheetView>
  </sheetViews>
  <sheetFormatPr defaultColWidth="8.88671875" defaultRowHeight="14.4" x14ac:dyDescent="0.3"/>
  <cols>
    <col min="1" max="1" width="8.88671875" style="83"/>
    <col min="2" max="2" width="54.6640625" style="83" customWidth="1"/>
    <col min="3" max="5" width="24.33203125" style="83" customWidth="1"/>
    <col min="6" max="6" width="7.33203125" style="83" customWidth="1"/>
    <col min="7" max="8" width="25.6640625" style="83" customWidth="1"/>
    <col min="9" max="9" width="57.88671875" style="83" bestFit="1" customWidth="1"/>
    <col min="10" max="11" width="20.88671875" style="83" customWidth="1"/>
    <col min="12" max="16384" width="8.88671875" style="83"/>
  </cols>
  <sheetData>
    <row r="1" spans="2:5" ht="27" customHeight="1" x14ac:dyDescent="0.3"/>
    <row r="2" spans="2:5" ht="27" customHeight="1" x14ac:dyDescent="0.3">
      <c r="B2" s="127"/>
      <c r="C2" s="128"/>
      <c r="D2" s="87"/>
      <c r="E2" s="87"/>
    </row>
    <row r="3" spans="2:5" ht="27" customHeight="1" x14ac:dyDescent="0.3">
      <c r="B3" s="127"/>
      <c r="C3" s="128"/>
      <c r="D3" s="87"/>
      <c r="E3" s="87"/>
    </row>
    <row r="4" spans="2:5" s="86" customFormat="1" ht="27" customHeight="1" x14ac:dyDescent="0.3">
      <c r="B4" s="127"/>
      <c r="C4" s="128"/>
      <c r="D4" s="87"/>
      <c r="E4" s="87"/>
    </row>
    <row r="5" spans="2:5" s="86" customFormat="1" ht="27" customHeight="1" thickBot="1" x14ac:dyDescent="0.35">
      <c r="B5" s="130"/>
      <c r="C5" s="88"/>
      <c r="D5" s="87"/>
      <c r="E5" s="87" t="s">
        <v>76</v>
      </c>
    </row>
    <row r="6" spans="2:5" ht="21.6" customHeight="1" thickTop="1" thickBot="1" x14ac:dyDescent="0.35">
      <c r="B6" s="146" t="s">
        <v>105</v>
      </c>
      <c r="C6" s="89">
        <v>4.6769999999999996</v>
      </c>
      <c r="D6" s="105"/>
      <c r="E6" s="106"/>
    </row>
    <row r="7" spans="2:5" ht="21.6" hidden="1" customHeight="1" thickTop="1" thickBot="1" x14ac:dyDescent="0.35">
      <c r="B7" s="90" t="s">
        <v>98</v>
      </c>
      <c r="C7" s="139">
        <f>CONVERT(_xlfn.IFS(B6=B18,C6*1000,B6=B20,C6/0.76*1000,B6=B22,C6/0.745*1000,B6=B19,CONVERT(C6,"MJ","kcal"),B6=B21,CONVERT(C6,"MJ","kcal")/0.76,B6=B23,CONVERT(C6,"MJ","kcal")/0.745),"kg","lbm")</f>
        <v>3305.6977417638955</v>
      </c>
      <c r="E7" s="84"/>
    </row>
    <row r="8" spans="2:5" ht="21.6" hidden="1" customHeight="1" thickTop="1" thickBot="1" x14ac:dyDescent="0.35">
      <c r="B8" s="131" t="s">
        <v>116</v>
      </c>
      <c r="C8" s="91">
        <f>170*2.204622</f>
        <v>374.78574000000003</v>
      </c>
      <c r="E8" s="84"/>
    </row>
    <row r="9" spans="2:5" ht="16.95" customHeight="1" thickTop="1" x14ac:dyDescent="0.3">
      <c r="B9" s="141" t="s">
        <v>84</v>
      </c>
    </row>
    <row r="10" spans="2:5" ht="16.95" customHeight="1" x14ac:dyDescent="0.3"/>
    <row r="11" spans="2:5" ht="18.600000000000001" thickBot="1" x14ac:dyDescent="0.35">
      <c r="B11" s="109" t="s">
        <v>122</v>
      </c>
      <c r="C11" s="94"/>
      <c r="D11" s="94"/>
      <c r="E11" s="94"/>
    </row>
    <row r="12" spans="2:5" ht="44.4" customHeight="1" thickTop="1" thickBot="1" x14ac:dyDescent="0.35">
      <c r="B12" s="93" t="s">
        <v>89</v>
      </c>
      <c r="C12" s="93" t="str">
        <f>IF(B6=B18,B25,IF(B6=B19,B26,IF(B6=B20,B27,IF(B6=B21,B28,IF(B6=B22,B27,IF(B6=B23,B28))))))</f>
        <v>NE, MJ/day</v>
      </c>
      <c r="D12" s="110" t="s">
        <v>106</v>
      </c>
      <c r="E12" s="111" t="s">
        <v>2</v>
      </c>
    </row>
    <row r="13" spans="2:5" ht="21.6" customHeight="1" thickTop="1" thickBot="1" x14ac:dyDescent="0.35">
      <c r="B13" s="112" t="s">
        <v>90</v>
      </c>
      <c r="C13" s="115">
        <f>IF(B6=B18,C18,IF(B6=B19,C19,IF(B6=B20,C20,IF(B6=B21,C21,IF(B6=B22,C22,IF(B6=B23,C23))))))</f>
        <v>24.953327999999999</v>
      </c>
      <c r="D13" s="112">
        <f>CONVERT((C18/($C$7/1000)),"kg","lbm")</f>
        <v>5.3353277742142406</v>
      </c>
      <c r="E13" s="122">
        <f>CONVERT(D13,"lbm","kg")*$C$79*1000</f>
        <v>14.857142857142858</v>
      </c>
    </row>
    <row r="14" spans="2:5" ht="21.6" customHeight="1" thickTop="1" thickBot="1" x14ac:dyDescent="0.35">
      <c r="B14" s="112" t="s">
        <v>127</v>
      </c>
      <c r="C14" s="115">
        <f>IF(B6=B18,D18,IF(B6=B19,D19,IF(B6=B20,D20,IF(B6=B21,D21,IF(B6=B22,D22,IF(B6=B23,D23))))))</f>
        <v>15.283913399999999</v>
      </c>
      <c r="D14" s="112">
        <f>CONVERT((D18/($C$7/1000)),"kg","lbm")</f>
        <v>3.2678882617062226</v>
      </c>
      <c r="E14" s="122">
        <f>CONVERT(D14,"lbm","kg")*$C$79*1000</f>
        <v>9.1</v>
      </c>
    </row>
    <row r="15" spans="2:5" ht="16.95" customHeight="1" thickTop="1" x14ac:dyDescent="0.3">
      <c r="B15" s="156" t="str">
        <f>IF(B6=B18," ",IF(B6=B19," ",IF(B6=B20,B30,IF(B6=B21,B30,IF(B6=B22,B31,IF(B6=B23,B31))))))</f>
        <v>Net Energy, using low fiber (&gt;12% NDF), the NE/ME ratio is 74.5%</v>
      </c>
      <c r="C15" s="156"/>
      <c r="D15" s="156"/>
    </row>
    <row r="16" spans="2:5" ht="16.95" customHeight="1" x14ac:dyDescent="0.3"/>
    <row r="17" spans="2:4" ht="21" hidden="1" customHeight="1" thickBot="1" x14ac:dyDescent="0.35">
      <c r="B17" s="96"/>
      <c r="C17" s="97" t="s">
        <v>82</v>
      </c>
      <c r="D17" s="97" t="s">
        <v>5</v>
      </c>
    </row>
    <row r="18" spans="2:4" ht="21" hidden="1" customHeight="1" thickTop="1" x14ac:dyDescent="0.3">
      <c r="B18" s="98" t="s">
        <v>100</v>
      </c>
      <c r="C18" s="99">
        <v>8</v>
      </c>
      <c r="D18" s="99">
        <v>4.9000000000000004</v>
      </c>
    </row>
    <row r="19" spans="2:4" ht="21" hidden="1" customHeight="1" x14ac:dyDescent="0.3">
      <c r="B19" s="98" t="s">
        <v>101</v>
      </c>
      <c r="C19" s="99">
        <f>(CONVERT(C18,"Mcal","MJ"))</f>
        <v>33.494399999999999</v>
      </c>
      <c r="D19" s="99">
        <f>(CONVERT(D18,"Mcal","MJ"))</f>
        <v>20.515319999999999</v>
      </c>
    </row>
    <row r="20" spans="2:4" ht="21" hidden="1" customHeight="1" x14ac:dyDescent="0.3">
      <c r="B20" s="98" t="s">
        <v>102</v>
      </c>
      <c r="C20" s="99">
        <f>C18*0.76</f>
        <v>6.08</v>
      </c>
      <c r="D20" s="99">
        <f>D18*0.76</f>
        <v>3.7240000000000002</v>
      </c>
    </row>
    <row r="21" spans="2:4" ht="21" hidden="1" customHeight="1" x14ac:dyDescent="0.3">
      <c r="B21" s="98" t="s">
        <v>103</v>
      </c>
      <c r="C21" s="99">
        <f>(CONVERT(C20,"Mcal","MJ"))</f>
        <v>25.455743999999999</v>
      </c>
      <c r="D21" s="99">
        <f>(CONVERT(D20,"Mcal","MJ"))</f>
        <v>15.5916432</v>
      </c>
    </row>
    <row r="22" spans="2:4" ht="21" hidden="1" customHeight="1" x14ac:dyDescent="0.3">
      <c r="B22" s="98" t="s">
        <v>104</v>
      </c>
      <c r="C22" s="99">
        <f>C18*0.745</f>
        <v>5.96</v>
      </c>
      <c r="D22" s="99">
        <f>D18*0.745</f>
        <v>3.6505000000000001</v>
      </c>
    </row>
    <row r="23" spans="2:4" ht="21" hidden="1" customHeight="1" x14ac:dyDescent="0.3">
      <c r="B23" s="98" t="s">
        <v>105</v>
      </c>
      <c r="C23" s="99">
        <f>(CONVERT(C22,"Mcal","MJ"))</f>
        <v>24.953327999999999</v>
      </c>
      <c r="D23" s="99">
        <f>(CONVERT(D22,"Mcal","MJ"))</f>
        <v>15.283913399999999</v>
      </c>
    </row>
    <row r="24" spans="2:4" ht="21" hidden="1" customHeight="1" x14ac:dyDescent="0.3">
      <c r="B24" s="83" t="s">
        <v>107</v>
      </c>
    </row>
    <row r="25" spans="2:4" ht="21" hidden="1" customHeight="1" x14ac:dyDescent="0.3">
      <c r="B25" s="100" t="s">
        <v>85</v>
      </c>
    </row>
    <row r="26" spans="2:4" ht="21" hidden="1" customHeight="1" x14ac:dyDescent="0.3">
      <c r="B26" s="100" t="s">
        <v>86</v>
      </c>
    </row>
    <row r="27" spans="2:4" ht="21" hidden="1" customHeight="1" x14ac:dyDescent="0.3">
      <c r="B27" s="100" t="s">
        <v>87</v>
      </c>
    </row>
    <row r="28" spans="2:4" ht="21" hidden="1" customHeight="1" x14ac:dyDescent="0.3">
      <c r="B28" s="100" t="s">
        <v>88</v>
      </c>
    </row>
    <row r="29" spans="2:4" ht="21" hidden="1" customHeight="1" x14ac:dyDescent="0.3"/>
    <row r="30" spans="2:4" ht="21" hidden="1" customHeight="1" x14ac:dyDescent="0.3">
      <c r="B30" s="157" t="s">
        <v>10</v>
      </c>
      <c r="C30" s="158"/>
    </row>
    <row r="31" spans="2:4" ht="21" hidden="1" customHeight="1" x14ac:dyDescent="0.3">
      <c r="B31" s="157" t="s">
        <v>11</v>
      </c>
      <c r="C31" s="158"/>
    </row>
    <row r="32" spans="2:4" hidden="1" x14ac:dyDescent="0.3"/>
    <row r="33" spans="2:7" hidden="1" x14ac:dyDescent="0.3"/>
    <row r="34" spans="2:7" hidden="1" x14ac:dyDescent="0.3"/>
    <row r="35" spans="2:7" hidden="1" x14ac:dyDescent="0.3">
      <c r="B35" s="103" t="s">
        <v>83</v>
      </c>
      <c r="C35" s="103" t="s">
        <v>128</v>
      </c>
      <c r="D35" s="103" t="s">
        <v>123</v>
      </c>
    </row>
    <row r="36" spans="2:7" hidden="1" x14ac:dyDescent="0.3">
      <c r="B36" s="101" t="s">
        <v>3</v>
      </c>
      <c r="C36" s="102">
        <f>$D$13</f>
        <v>5.3353277742142406</v>
      </c>
      <c r="D36" s="102">
        <f>$D$14</f>
        <v>3.2678882617062226</v>
      </c>
    </row>
    <row r="37" spans="2:7" hidden="1" x14ac:dyDescent="0.3">
      <c r="B37" s="101" t="s">
        <v>7</v>
      </c>
      <c r="C37" s="102">
        <f>$D$13</f>
        <v>5.3353277742142406</v>
      </c>
      <c r="D37" s="102">
        <f>$D$14</f>
        <v>3.2678882617062226</v>
      </c>
    </row>
    <row r="38" spans="2:7" hidden="1" x14ac:dyDescent="0.3">
      <c r="B38" s="101" t="s">
        <v>8</v>
      </c>
      <c r="C38" s="102">
        <f>$D$13</f>
        <v>5.3353277742142406</v>
      </c>
      <c r="D38" s="102">
        <f>$D$14</f>
        <v>3.2678882617062226</v>
      </c>
    </row>
    <row r="39" spans="2:7" hidden="1" x14ac:dyDescent="0.3">
      <c r="B39" s="101" t="s">
        <v>4</v>
      </c>
      <c r="C39" s="102">
        <f>$D$13</f>
        <v>5.3353277742142406</v>
      </c>
      <c r="D39" s="102">
        <f>$D$14</f>
        <v>3.2678882617062226</v>
      </c>
    </row>
    <row r="40" spans="2:7" hidden="1" x14ac:dyDescent="0.3">
      <c r="B40" s="101" t="s">
        <v>33</v>
      </c>
      <c r="C40" s="102">
        <f>C39</f>
        <v>5.3353277742142406</v>
      </c>
      <c r="D40" s="102">
        <f>D39</f>
        <v>3.2678882617062226</v>
      </c>
    </row>
    <row r="41" spans="2:7" hidden="1" x14ac:dyDescent="0.3">
      <c r="B41" s="101"/>
      <c r="C41" s="102"/>
      <c r="D41" s="102"/>
    </row>
    <row r="42" spans="2:7" ht="20.399999999999999" hidden="1" thickBot="1" x14ac:dyDescent="0.35">
      <c r="B42" s="109" t="str">
        <f>"Table 2. Base allocation (" &amp;ROUND(D14,2)&amp; " lb/d) as percent of daily intake to 100% maintenance"</f>
        <v>Table 2. Base allocation (3.27 lb/d) as percent of daily intake to 100% maintenance</v>
      </c>
      <c r="C42" s="88"/>
      <c r="D42" s="88"/>
      <c r="E42" s="88"/>
    </row>
    <row r="43" spans="2:7" ht="43.95" hidden="1" customHeight="1" thickTop="1" thickBot="1" x14ac:dyDescent="0.35">
      <c r="B43" s="92" t="s">
        <v>80</v>
      </c>
      <c r="C43" s="92" t="s">
        <v>108</v>
      </c>
      <c r="D43" s="93" t="s">
        <v>0</v>
      </c>
      <c r="E43" s="93" t="s">
        <v>81</v>
      </c>
    </row>
    <row r="44" spans="2:7" ht="21.6" hidden="1" customHeight="1" thickTop="1" thickBot="1" x14ac:dyDescent="0.35">
      <c r="B44" s="94" t="s">
        <v>78</v>
      </c>
      <c r="C44" s="107">
        <f>C8</f>
        <v>374.78574000000003</v>
      </c>
      <c r="D44" s="108">
        <f>CONVERT(((100*(CONVERT(C44,"lbm","kg"))^0.75)/$C$7),"kg","lbm")</f>
        <v>3.1398414433490274</v>
      </c>
      <c r="E44" s="123">
        <f>$D$14/D44*100</f>
        <v>104.07813007973476</v>
      </c>
      <c r="F44" s="114" t="str">
        <f>IF(E44&lt;100,"!","")</f>
        <v/>
      </c>
      <c r="G44" s="104"/>
    </row>
    <row r="45" spans="2:7" ht="21.6" hidden="1" customHeight="1" thickTop="1" thickBot="1" x14ac:dyDescent="0.35">
      <c r="B45" s="94" t="s">
        <v>77</v>
      </c>
      <c r="C45" s="107">
        <f>SUMPRODUCT('I. Herd Sire (imperial)'!D9:D14,'I. Herd Sire (imperial)'!O9:O14)</f>
        <v>461.02920670897146</v>
      </c>
      <c r="D45" s="108">
        <f t="shared" ref="D45:D46" si="0">CONVERT(((100*(CONVERT(C45,"lbm","kg"))^0.75)/$C$7),"kg","lbm")</f>
        <v>3.6674715473889403</v>
      </c>
      <c r="E45" s="123">
        <f>$D$14/D45*100</f>
        <v>89.104665693529341</v>
      </c>
      <c r="F45" s="114" t="str">
        <f t="shared" ref="F45:F46" si="1">IF(E45&lt;100,"!","")</f>
        <v>!</v>
      </c>
      <c r="G45" s="104"/>
    </row>
    <row r="46" spans="2:7" ht="21.6" hidden="1" customHeight="1" thickTop="1" thickBot="1" x14ac:dyDescent="0.35">
      <c r="B46" s="94" t="s">
        <v>79</v>
      </c>
      <c r="C46" s="107">
        <f>SUMPRODUCT('I. Herd Sire (imperial)'!C8:C14,'I. Herd Sire (imperial)'!D8:D14)</f>
        <v>430.84399336083146</v>
      </c>
      <c r="D46" s="108">
        <f t="shared" si="0"/>
        <v>3.4858641321417334</v>
      </c>
      <c r="E46" s="123">
        <f>$D$14/D46*100</f>
        <v>93.746862695374617</v>
      </c>
      <c r="F46" s="114" t="str">
        <f t="shared" si="1"/>
        <v>!</v>
      </c>
      <c r="G46" s="104" t="s">
        <v>76</v>
      </c>
    </row>
    <row r="47" spans="2:7" ht="16.95" hidden="1" customHeight="1" thickTop="1" x14ac:dyDescent="0.3">
      <c r="B47" s="113" t="s">
        <v>91</v>
      </c>
    </row>
    <row r="48" spans="2:7" ht="16.95" hidden="1" customHeight="1" x14ac:dyDescent="0.3"/>
    <row r="49" spans="2:8" ht="22.2" customHeight="1" thickBot="1" x14ac:dyDescent="0.35">
      <c r="B49" s="132" t="s">
        <v>121</v>
      </c>
      <c r="C49" s="133"/>
      <c r="D49" s="133"/>
    </row>
    <row r="50" spans="2:8" ht="43.2" customHeight="1" thickTop="1" thickBot="1" x14ac:dyDescent="0.35">
      <c r="B50" s="134" t="s">
        <v>109</v>
      </c>
      <c r="C50" s="133" t="s">
        <v>111</v>
      </c>
      <c r="D50" s="135" t="s">
        <v>112</v>
      </c>
    </row>
    <row r="51" spans="2:8" ht="22.2" customHeight="1" thickTop="1" thickBot="1" x14ac:dyDescent="0.35">
      <c r="B51" s="134" t="str">
        <f>ROUND((FFS!AL7),1)&amp; " to " &amp;ROUND((FFS!AM7),1)</f>
        <v>35.2 to 38.6</v>
      </c>
      <c r="C51" s="134" t="str">
        <f>ROUND((FFS!AN7),0)&amp; " to " &amp;ROUND((FFS!AO7),0)</f>
        <v>300 to 385</v>
      </c>
      <c r="D51" s="133">
        <f>FFS!AP7</f>
        <v>3.2038042332334573</v>
      </c>
      <c r="H51" s="136"/>
    </row>
    <row r="52" spans="2:8" ht="19.2" thickTop="1" thickBot="1" x14ac:dyDescent="0.35">
      <c r="B52" s="149" t="str">
        <f>ROUND((FFS!AL8),1)&amp; " to " &amp;ROUND((FFS!AM8),1)</f>
        <v>38.7 to 40.6</v>
      </c>
      <c r="C52" s="149" t="str">
        <f>ROUND((FFS!AN8),0)&amp; " to " &amp;ROUND((FFS!AO8),0)</f>
        <v>386 to 440</v>
      </c>
      <c r="D52" s="151">
        <f>FFS!AP8</f>
        <v>3.5412772638578325</v>
      </c>
      <c r="H52" s="136"/>
    </row>
    <row r="53" spans="2:8" ht="19.2" thickTop="1" thickBot="1" x14ac:dyDescent="0.35">
      <c r="B53" s="134" t="str">
        <f>ROUND((FFS!AL9),1)&amp; " to " &amp;ROUND((FFS!AM9),1)</f>
        <v>40.6 to 42.6</v>
      </c>
      <c r="C53" s="134" t="str">
        <f>ROUND((FFS!AN9),0)&amp; " to " &amp;ROUND((FFS!AO9),0)</f>
        <v>441 to 500</v>
      </c>
      <c r="D53" s="133">
        <f>FFS!AP9</f>
        <v>3.8976059267269667</v>
      </c>
      <c r="H53" s="136"/>
    </row>
    <row r="54" spans="2:8" ht="15" thickTop="1" x14ac:dyDescent="0.3">
      <c r="B54" s="113" t="s">
        <v>96</v>
      </c>
    </row>
    <row r="55" spans="2:8" x14ac:dyDescent="0.3">
      <c r="B55" s="113"/>
    </row>
    <row r="56" spans="2:8" x14ac:dyDescent="0.3">
      <c r="B56" s="113"/>
    </row>
    <row r="57" spans="2:8" x14ac:dyDescent="0.3">
      <c r="B57" s="137"/>
      <c r="C57" s="137"/>
    </row>
    <row r="58" spans="2:8" ht="18.600000000000001" thickBot="1" x14ac:dyDescent="0.35">
      <c r="B58" s="121" t="s">
        <v>117</v>
      </c>
      <c r="C58" s="112"/>
    </row>
    <row r="59" spans="2:8" ht="22.2" customHeight="1" thickTop="1" thickBot="1" x14ac:dyDescent="0.35">
      <c r="B59" s="134" t="s">
        <v>113</v>
      </c>
      <c r="C59" s="140">
        <v>42.6</v>
      </c>
    </row>
    <row r="60" spans="2:8" ht="22.2" customHeight="1" thickTop="1" thickBot="1" x14ac:dyDescent="0.35">
      <c r="B60" s="134" t="s">
        <v>114</v>
      </c>
      <c r="C60" s="94">
        <f>CONVERT(((C62*0.0507) + 0.6139)^3,"kg","lbm")</f>
        <v>500.36876108877846</v>
      </c>
      <c r="E60" s="83" t="s">
        <v>76</v>
      </c>
    </row>
    <row r="61" spans="2:8" ht="22.2" customHeight="1" thickTop="1" thickBot="1" x14ac:dyDescent="0.35">
      <c r="B61" s="134" t="s">
        <v>115</v>
      </c>
      <c r="C61" s="133">
        <f>CONVERT((100*((CONVERT(C60,"lbm","kg")^0.75))/(FFM!$B$10*1000)),"kg","lbm")</f>
        <v>3.9914373947429027</v>
      </c>
    </row>
    <row r="62" spans="2:8" ht="15" hidden="1" thickTop="1" x14ac:dyDescent="0.3">
      <c r="C62" s="138">
        <f>CONVERT(C59,"in","cm")</f>
        <v>108.20399999999999</v>
      </c>
    </row>
    <row r="63" spans="2:8" ht="16.95" hidden="1" customHeight="1" x14ac:dyDescent="0.3">
      <c r="C63" s="138">
        <f>CONVERT(C60,"lbm","kg")</f>
        <v>226.96345221622281</v>
      </c>
    </row>
    <row r="64" spans="2:8" hidden="1" x14ac:dyDescent="0.3">
      <c r="C64" s="138">
        <f>((100*(C63^0.75)))/C7</f>
        <v>1.7689021320437461</v>
      </c>
    </row>
    <row r="65" spans="2:3" hidden="1" x14ac:dyDescent="0.3">
      <c r="C65" s="138">
        <f>CONVERT(C64,"kg","lbm")</f>
        <v>3.8997616561401727</v>
      </c>
    </row>
    <row r="66" spans="2:3" ht="15" thickTop="1" x14ac:dyDescent="0.3"/>
    <row r="67" spans="2:3" hidden="1" x14ac:dyDescent="0.3"/>
    <row r="68" spans="2:3" hidden="1" x14ac:dyDescent="0.3"/>
    <row r="69" spans="2:3" hidden="1" x14ac:dyDescent="0.3"/>
    <row r="70" spans="2:3" hidden="1" x14ac:dyDescent="0.3"/>
    <row r="71" spans="2:3" hidden="1" x14ac:dyDescent="0.3"/>
    <row r="72" spans="2:3" hidden="1" x14ac:dyDescent="0.3"/>
    <row r="73" spans="2:3" hidden="1" x14ac:dyDescent="0.3"/>
    <row r="74" spans="2:3" hidden="1" x14ac:dyDescent="0.3"/>
    <row r="75" spans="2:3" hidden="1" x14ac:dyDescent="0.3"/>
    <row r="76" spans="2:3" hidden="1" x14ac:dyDescent="0.3"/>
    <row r="77" spans="2:3" hidden="1" x14ac:dyDescent="0.3">
      <c r="C77" s="138">
        <f>CONVERT(D14,"lbm","kg")</f>
        <v>1.4822891815225057</v>
      </c>
    </row>
    <row r="78" spans="2:3" ht="20.399999999999999" thickBot="1" x14ac:dyDescent="0.35">
      <c r="B78" s="147" t="s">
        <v>118</v>
      </c>
      <c r="C78" s="126"/>
    </row>
    <row r="79" spans="2:3" ht="21" thickTop="1" thickBot="1" x14ac:dyDescent="0.35">
      <c r="B79" s="4" t="s">
        <v>1</v>
      </c>
      <c r="C79" s="126">
        <f>9.1/C77/1000</f>
        <v>6.1391529489900915E-3</v>
      </c>
    </row>
    <row r="80" spans="2:3" ht="21" thickTop="1" thickBot="1" x14ac:dyDescent="0.35">
      <c r="B80" s="4" t="s">
        <v>36</v>
      </c>
      <c r="C80" s="85">
        <v>0.7</v>
      </c>
    </row>
    <row r="81" spans="2:3" ht="21" thickTop="1" thickBot="1" x14ac:dyDescent="0.35">
      <c r="B81" s="4" t="s">
        <v>37</v>
      </c>
      <c r="C81" s="85">
        <v>0.76</v>
      </c>
    </row>
    <row r="82" spans="2:3" ht="21" thickTop="1" thickBot="1" x14ac:dyDescent="0.35">
      <c r="B82" s="4" t="s">
        <v>38</v>
      </c>
      <c r="C82" s="85">
        <v>0.19</v>
      </c>
    </row>
    <row r="83" spans="2:3" ht="21" thickTop="1" thickBot="1" x14ac:dyDescent="0.35">
      <c r="B83" s="4" t="s">
        <v>39</v>
      </c>
      <c r="C83" s="85">
        <v>0.71</v>
      </c>
    </row>
    <row r="84" spans="2:3" ht="21" thickTop="1" thickBot="1" x14ac:dyDescent="0.35">
      <c r="B84" s="4" t="s">
        <v>41</v>
      </c>
      <c r="C84" s="85">
        <v>0.57999999999999996</v>
      </c>
    </row>
    <row r="85" spans="2:3" ht="21" thickTop="1" thickBot="1" x14ac:dyDescent="0.35">
      <c r="B85" s="4" t="s">
        <v>40</v>
      </c>
      <c r="C85" s="85">
        <v>0.92</v>
      </c>
    </row>
    <row r="86" spans="2:3" ht="21" thickTop="1" thickBot="1" x14ac:dyDescent="0.35">
      <c r="B86" s="4" t="s">
        <v>46</v>
      </c>
      <c r="C86" s="85">
        <v>0.35</v>
      </c>
    </row>
    <row r="87" spans="2:3" ht="21" thickTop="1" thickBot="1" x14ac:dyDescent="0.35">
      <c r="B87" s="4" t="s">
        <v>42</v>
      </c>
      <c r="C87" s="126">
        <f>(((5.9/3.23)*8.5)/$C$77)/1000</f>
        <v>1.0474552457791077E-2</v>
      </c>
    </row>
    <row r="88" spans="2:3" ht="21" thickTop="1" thickBot="1" x14ac:dyDescent="0.35">
      <c r="B88" s="4" t="s">
        <v>43</v>
      </c>
      <c r="C88" s="126">
        <f>(((5.9/3.23)*4)/$C$77)/1000</f>
        <v>4.9292011566075657E-3</v>
      </c>
    </row>
    <row r="89" spans="2:3" ht="21" thickTop="1" thickBot="1" x14ac:dyDescent="0.35">
      <c r="B89" s="4" t="s">
        <v>44</v>
      </c>
      <c r="C89" s="126">
        <f>(((5.9/3.23)*4.4)/$C$77)/1000</f>
        <v>5.4221212722683236E-3</v>
      </c>
    </row>
    <row r="90" spans="2:3" ht="21" thickTop="1" thickBot="1" x14ac:dyDescent="0.35">
      <c r="B90" s="4" t="s">
        <v>45</v>
      </c>
      <c r="C90" s="126">
        <f>(((5.9/3.23)*2.4)/$C$77)/1000</f>
        <v>2.9575206939645394E-3</v>
      </c>
    </row>
    <row r="91" spans="2:3" x14ac:dyDescent="0.3">
      <c r="B91" s="113" t="s">
        <v>119</v>
      </c>
    </row>
  </sheetData>
  <sheetProtection algorithmName="SHA-512" hashValue="n3YwCZ1K7wZ9ybV0wUTYq4Mpx730Y0LOAQf7UPXj+ogjzaPQ5pAP3vBn9VWPEiNu+7C8WPR9Dp9Fua/wg/FUtw==" saltValue="P3e/fMnKLtfm9QXo+2JX8Q==" spinCount="100000" sheet="1" objects="1" scenarios="1" selectLockedCells="1"/>
  <mergeCells count="3">
    <mergeCell ref="B30:C30"/>
    <mergeCell ref="B31:C31"/>
    <mergeCell ref="B15:D15"/>
  </mergeCells>
  <conditionalFormatting sqref="E44:E46">
    <cfRule type="cellIs" dxfId="0" priority="1" operator="lessThan">
      <formula>100</formula>
    </cfRule>
  </conditionalFormatting>
  <dataValidations count="1">
    <dataValidation type="list" allowBlank="1" showInputMessage="1" showErrorMessage="1" sqref="B6" xr:uid="{FBEE9B55-0E07-4C74-B8D3-01F8E08FEAB6}">
      <formula1>$B$18:$B$23</formula1>
    </dataValidation>
  </dataValidations>
  <pageMargins left="0.7" right="0.7" top="0.75" bottom="0.75" header="0.3" footer="0.3"/>
  <pageSetup orientation="portrait" r:id="rId1"/>
  <ignoredErrors>
    <ignoredError sqref="C20:D22"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304EB-B075-4DF4-85C8-90DEBE866140}">
  <sheetPr>
    <tabColor rgb="FF00B0F0"/>
  </sheetPr>
  <dimension ref="B1:V18"/>
  <sheetViews>
    <sheetView zoomScaleNormal="100" workbookViewId="0">
      <selection activeCell="E15" sqref="E15"/>
    </sheetView>
  </sheetViews>
  <sheetFormatPr defaultColWidth="8.88671875" defaultRowHeight="13.2" x14ac:dyDescent="0.25"/>
  <cols>
    <col min="1" max="1" width="2.6640625" style="6" customWidth="1"/>
    <col min="2" max="2" width="6.88671875" style="6" customWidth="1"/>
    <col min="3" max="3" width="19.109375" style="6" customWidth="1"/>
    <col min="4" max="4" width="12.33203125" style="6" bestFit="1" customWidth="1"/>
    <col min="5" max="5" width="6.6640625" style="6" customWidth="1"/>
    <col min="6" max="6" width="4" style="6" hidden="1" customWidth="1"/>
    <col min="7" max="7" width="12.33203125" style="6" bestFit="1" customWidth="1"/>
    <col min="8" max="8" width="11.88671875" style="6" customWidth="1"/>
    <col min="9" max="9" width="4" style="6" hidden="1" customWidth="1"/>
    <col min="10" max="10" width="6.6640625" style="6" bestFit="1" customWidth="1"/>
    <col min="11" max="11" width="6" style="6" bestFit="1" customWidth="1"/>
    <col min="12" max="12" width="7.33203125" style="6" bestFit="1" customWidth="1"/>
    <col min="13" max="13" width="8" style="6" bestFit="1" customWidth="1"/>
    <col min="14" max="14" width="8.88671875" style="6"/>
    <col min="15" max="15" width="9" style="6" bestFit="1" customWidth="1"/>
    <col min="16" max="16" width="9.5546875" style="6" bestFit="1" customWidth="1"/>
    <col min="17" max="17" width="9.5546875" style="6" hidden="1" customWidth="1"/>
    <col min="18" max="20" width="0" style="6" hidden="1" customWidth="1"/>
    <col min="21" max="16384" width="8.88671875" style="6"/>
  </cols>
  <sheetData>
    <row r="1" spans="2:22" ht="10.199999999999999" customHeight="1" thickBot="1" x14ac:dyDescent="0.3">
      <c r="B1" s="5"/>
      <c r="C1" s="5"/>
      <c r="D1" s="5"/>
      <c r="E1" s="5"/>
      <c r="F1" s="5"/>
      <c r="G1" s="5"/>
      <c r="H1" s="5"/>
      <c r="I1" s="5"/>
      <c r="J1" s="5"/>
      <c r="K1" s="5"/>
      <c r="L1" s="5"/>
      <c r="M1" s="5"/>
    </row>
    <row r="2" spans="2:22" ht="32.4" customHeight="1" x14ac:dyDescent="0.25">
      <c r="B2" s="168" t="s">
        <v>12</v>
      </c>
      <c r="C2" s="169"/>
      <c r="D2" s="169"/>
      <c r="E2" s="169"/>
      <c r="F2" s="169"/>
      <c r="G2" s="169"/>
      <c r="H2" s="169"/>
      <c r="I2" s="169"/>
      <c r="J2" s="169"/>
      <c r="K2" s="169"/>
      <c r="L2" s="169"/>
      <c r="M2" s="170"/>
    </row>
    <row r="3" spans="2:22" ht="18" thickBot="1" x14ac:dyDescent="0.3">
      <c r="B3" s="171" t="s">
        <v>13</v>
      </c>
      <c r="C3" s="172"/>
      <c r="D3" s="172"/>
      <c r="E3" s="172"/>
      <c r="F3" s="172"/>
      <c r="G3" s="172"/>
      <c r="H3" s="172"/>
      <c r="I3" s="172"/>
      <c r="J3" s="172"/>
      <c r="K3" s="172"/>
      <c r="L3" s="172"/>
      <c r="M3" s="173"/>
    </row>
    <row r="4" spans="2:22" ht="9" customHeight="1" thickBot="1" x14ac:dyDescent="0.3">
      <c r="B4" s="5"/>
      <c r="C4" s="5"/>
      <c r="D4" s="5"/>
      <c r="E4" s="5"/>
      <c r="F4" s="5"/>
      <c r="G4" s="5"/>
      <c r="H4" s="5"/>
      <c r="I4" s="5"/>
      <c r="J4" s="5"/>
      <c r="K4" s="5"/>
      <c r="L4" s="5"/>
      <c r="M4" s="5"/>
    </row>
    <row r="5" spans="2:22" ht="13.8" thickBot="1" x14ac:dyDescent="0.3">
      <c r="B5" s="174" t="s">
        <v>14</v>
      </c>
      <c r="C5" s="175"/>
      <c r="D5" s="7">
        <f>'Maternal lines'!C7</f>
        <v>3229.7721410084564</v>
      </c>
      <c r="E5" s="8"/>
      <c r="F5" s="8"/>
      <c r="G5" s="8"/>
      <c r="H5" s="8"/>
      <c r="I5" s="8"/>
      <c r="J5" s="8"/>
      <c r="K5" s="8"/>
      <c r="L5" s="8"/>
      <c r="M5" s="8"/>
    </row>
    <row r="6" spans="2:22" ht="36" customHeight="1" thickBot="1" x14ac:dyDescent="0.3">
      <c r="B6" s="5"/>
      <c r="C6" s="5"/>
      <c r="D6" s="5"/>
      <c r="E6" s="5"/>
      <c r="F6" s="5"/>
      <c r="G6" s="5"/>
      <c r="H6" s="5"/>
      <c r="I6" s="5"/>
      <c r="J6" s="176" t="s">
        <v>15</v>
      </c>
      <c r="K6" s="177"/>
      <c r="L6" s="178" t="s">
        <v>16</v>
      </c>
      <c r="M6" s="178"/>
    </row>
    <row r="7" spans="2:22" ht="44.4" customHeight="1" x14ac:dyDescent="0.25">
      <c r="B7" s="10" t="s">
        <v>17</v>
      </c>
      <c r="C7" s="11" t="s">
        <v>18</v>
      </c>
      <c r="D7" s="12" t="s">
        <v>19</v>
      </c>
      <c r="E7" s="12" t="s">
        <v>20</v>
      </c>
      <c r="F7" s="13"/>
      <c r="G7" s="12" t="s">
        <v>21</v>
      </c>
      <c r="H7" s="13" t="s">
        <v>22</v>
      </c>
      <c r="I7" s="13"/>
      <c r="J7" s="14" t="s">
        <v>23</v>
      </c>
      <c r="K7" s="14" t="s">
        <v>24</v>
      </c>
      <c r="L7" s="14" t="s">
        <v>23</v>
      </c>
      <c r="M7" s="14" t="s">
        <v>24</v>
      </c>
    </row>
    <row r="8" spans="2:22" x14ac:dyDescent="0.25">
      <c r="B8" s="15" t="s">
        <v>25</v>
      </c>
      <c r="C8" s="16">
        <v>0.35</v>
      </c>
      <c r="D8" s="17">
        <f>'Terminal lines'!C44</f>
        <v>374.78574000000003</v>
      </c>
      <c r="E8" s="18">
        <f>CONVERT(((0.5357*($T8^2))-(8.8929*$T8)+35.857),"kg","lbm")</f>
        <v>60.626681176316964</v>
      </c>
      <c r="F8" s="18">
        <f t="shared" ref="F8:F14" si="0">$D$15</f>
        <v>430.84399336083146</v>
      </c>
      <c r="G8" s="17">
        <f>D8</f>
        <v>374.78574000000003</v>
      </c>
      <c r="H8" s="18">
        <f>CONVERT(IF($G$8&gt;150,((0.4286*($T8^2))-(8.1143*$T8)+33.4),((0.5357*($T8^2))-(8.8929*$T8)+35.857)),"kg","lbm")</f>
        <v>56.690327485005973</v>
      </c>
      <c r="I8" s="18">
        <f t="shared" ref="I8:I14" si="1">$G$15</f>
        <v>427.14440070674863</v>
      </c>
      <c r="J8" s="18">
        <f>100*D8^0.75</f>
        <v>8517.9932922181597</v>
      </c>
      <c r="K8" s="18">
        <f>100*G8^0.75</f>
        <v>8517.9932922181597</v>
      </c>
      <c r="L8" s="29">
        <f>'Maternal lines'!$D$14/(J8/$D$5)</f>
        <v>1.5270349509186532</v>
      </c>
      <c r="M8" s="29">
        <f>'Maternal lines'!$D$14/(K8/$D$5)</f>
        <v>1.5270349509186532</v>
      </c>
      <c r="T8" s="6">
        <v>1</v>
      </c>
    </row>
    <row r="9" spans="2:22" x14ac:dyDescent="0.25">
      <c r="B9" s="15" t="s">
        <v>26</v>
      </c>
      <c r="C9" s="16">
        <v>0.35</v>
      </c>
      <c r="D9" s="18">
        <f t="shared" ref="D9:D14" si="2">D8+E8</f>
        <v>435.41242117631703</v>
      </c>
      <c r="E9" s="18">
        <f t="shared" ref="E9:E14" si="3">CONVERT(((0.5357*($T9^2))-(8.8929*$T9)+35.857),"kg","lbm")</f>
        <v>44.564241678051147</v>
      </c>
      <c r="F9" s="18">
        <f t="shared" si="0"/>
        <v>430.84399336083146</v>
      </c>
      <c r="G9" s="18">
        <f>(G8+H8)</f>
        <v>431.47606748500601</v>
      </c>
      <c r="H9" s="18">
        <f t="shared" ref="H9:H14" si="4">CONVERT(IF($G$8&gt;150,((0.4286*($T9^2))-(8.1143*$T9)+33.4),((0.5357*($T9^2))-(8.8929*$T9)+35.857)),"kg","lbm")</f>
        <v>41.6360619117116</v>
      </c>
      <c r="I9" s="18">
        <f t="shared" si="1"/>
        <v>427.14440070674863</v>
      </c>
      <c r="J9" s="18">
        <f t="shared" ref="J9:J14" si="5">100*D9^0.75</f>
        <v>9531.8151306661221</v>
      </c>
      <c r="K9" s="18">
        <f t="shared" ref="K9:K14" si="6">100*G9^0.75</f>
        <v>9467.1124113289898</v>
      </c>
      <c r="L9" s="29">
        <f>'Maternal lines'!$D$14/(J9/$D$5)</f>
        <v>1.3646166328866656</v>
      </c>
      <c r="M9" s="29">
        <f>'Maternal lines'!$D$15/(K9/$D$5)</f>
        <v>1.1410713613299677</v>
      </c>
      <c r="O9" s="95">
        <f>C9/(SUM($C$9:$C$14))</f>
        <v>0.53846153846153844</v>
      </c>
      <c r="P9" s="9"/>
      <c r="T9" s="6">
        <v>2</v>
      </c>
      <c r="V9" s="19"/>
    </row>
    <row r="10" spans="2:22" x14ac:dyDescent="0.25">
      <c r="B10" s="15" t="s">
        <v>27</v>
      </c>
      <c r="C10" s="16">
        <v>0.2</v>
      </c>
      <c r="D10" s="18">
        <f t="shared" si="2"/>
        <v>479.97666285436816</v>
      </c>
      <c r="E10" s="18">
        <f t="shared" si="3"/>
        <v>30.863834856834124</v>
      </c>
      <c r="F10" s="18">
        <f t="shared" si="0"/>
        <v>430.84399336083146</v>
      </c>
      <c r="G10" s="18">
        <f t="shared" ref="G10:G14" si="7">(G9+H9)</f>
        <v>473.11212939671759</v>
      </c>
      <c r="H10" s="18">
        <f t="shared" si="4"/>
        <v>28.471598849866009</v>
      </c>
      <c r="I10" s="18">
        <f t="shared" si="1"/>
        <v>427.14440070674863</v>
      </c>
      <c r="J10" s="18">
        <f t="shared" si="5"/>
        <v>10254.514214020952</v>
      </c>
      <c r="K10" s="18">
        <f t="shared" si="6"/>
        <v>10144.322834242814</v>
      </c>
      <c r="L10" s="29">
        <f>'Maternal lines'!$D$14/(J10/$D$5)</f>
        <v>1.2684436529546166</v>
      </c>
      <c r="M10" s="29">
        <f>'Maternal lines'!$D$15/(K10/$D$5)</f>
        <v>1.0648962009168281</v>
      </c>
      <c r="O10" s="95">
        <f t="shared" ref="O10:O14" si="8">C10/(SUM($C$9:$C$14))</f>
        <v>0.30769230769230771</v>
      </c>
      <c r="T10" s="6">
        <v>3</v>
      </c>
    </row>
    <row r="11" spans="2:22" x14ac:dyDescent="0.25">
      <c r="B11" s="15" t="s">
        <v>28</v>
      </c>
      <c r="C11" s="16">
        <v>0.09</v>
      </c>
      <c r="D11" s="18">
        <f t="shared" si="2"/>
        <v>510.84049771120226</v>
      </c>
      <c r="E11" s="18">
        <f t="shared" si="3"/>
        <v>19.525460712665868</v>
      </c>
      <c r="F11" s="18">
        <f t="shared" si="0"/>
        <v>430.84399336083146</v>
      </c>
      <c r="G11" s="18">
        <f t="shared" si="7"/>
        <v>501.58372824658358</v>
      </c>
      <c r="H11" s="18">
        <f t="shared" si="4"/>
        <v>17.196938299469181</v>
      </c>
      <c r="I11" s="18">
        <f t="shared" si="1"/>
        <v>427.14440070674863</v>
      </c>
      <c r="J11" s="18">
        <f t="shared" si="5"/>
        <v>10745.187285444159</v>
      </c>
      <c r="K11" s="18">
        <f t="shared" si="6"/>
        <v>10598.821533212893</v>
      </c>
      <c r="L11" s="29">
        <f>'Maternal lines'!$D$14/(J11/$D$5)</f>
        <v>1.2105208707276722</v>
      </c>
      <c r="M11" s="29">
        <f>'Maternal lines'!$D$15/(K11/$D$5)</f>
        <v>1.0192313186147517</v>
      </c>
      <c r="O11" s="95">
        <f t="shared" si="8"/>
        <v>0.13846153846153844</v>
      </c>
      <c r="T11" s="6">
        <v>4</v>
      </c>
    </row>
    <row r="12" spans="2:22" x14ac:dyDescent="0.25">
      <c r="B12" s="15" t="s">
        <v>29</v>
      </c>
      <c r="C12" s="16">
        <v>0.01</v>
      </c>
      <c r="D12" s="18">
        <f t="shared" si="2"/>
        <v>530.36595842386816</v>
      </c>
      <c r="E12" s="18">
        <f t="shared" si="3"/>
        <v>10.5491192455464</v>
      </c>
      <c r="F12" s="18">
        <f t="shared" si="0"/>
        <v>430.84399336083146</v>
      </c>
      <c r="G12" s="18">
        <f t="shared" si="7"/>
        <v>518.78066654605277</v>
      </c>
      <c r="H12" s="18">
        <f t="shared" si="4"/>
        <v>7.8120802605211326</v>
      </c>
      <c r="I12" s="18">
        <f t="shared" si="1"/>
        <v>427.14440070674863</v>
      </c>
      <c r="J12" s="18">
        <f t="shared" si="5"/>
        <v>11051.767267676132</v>
      </c>
      <c r="K12" s="18">
        <f t="shared" si="6"/>
        <v>10870.20756893699</v>
      </c>
      <c r="L12" s="29">
        <f>'Maternal lines'!$D$14/(J12/$D$5)</f>
        <v>1.1769405882216726</v>
      </c>
      <c r="M12" s="29">
        <f>'Maternal lines'!$D$15/(K12/$D$5)</f>
        <v>0.99378514886219471</v>
      </c>
      <c r="O12" s="95">
        <f t="shared" si="8"/>
        <v>1.5384615384615384E-2</v>
      </c>
      <c r="T12" s="6">
        <v>5</v>
      </c>
    </row>
    <row r="13" spans="2:22" x14ac:dyDescent="0.25">
      <c r="B13" s="15" t="s">
        <v>30</v>
      </c>
      <c r="C13" s="16">
        <v>0</v>
      </c>
      <c r="D13" s="18">
        <f t="shared" si="2"/>
        <v>540.91507766941459</v>
      </c>
      <c r="E13" s="18">
        <f t="shared" si="3"/>
        <v>3.9348104554757044</v>
      </c>
      <c r="F13" s="18">
        <f t="shared" si="0"/>
        <v>430.84399336083146</v>
      </c>
      <c r="G13" s="18">
        <f t="shared" si="7"/>
        <v>526.59274680657393</v>
      </c>
      <c r="H13" s="18">
        <f t="shared" si="4"/>
        <v>0.31702473302185136</v>
      </c>
      <c r="I13" s="18">
        <f t="shared" si="1"/>
        <v>427.14440070674863</v>
      </c>
      <c r="J13" s="18">
        <f t="shared" si="5"/>
        <v>11216.227652833757</v>
      </c>
      <c r="K13" s="18">
        <f t="shared" si="6"/>
        <v>10992.745024855873</v>
      </c>
      <c r="L13" s="29">
        <f>'Maternal lines'!$D$14/(J13/$D$5)</f>
        <v>1.1596834400576306</v>
      </c>
      <c r="M13" s="29">
        <f>'Maternal lines'!$D$15/(K13/$D$5)</f>
        <v>0.98270730583061416</v>
      </c>
      <c r="O13" s="95">
        <f t="shared" si="8"/>
        <v>0</v>
      </c>
      <c r="T13" s="6">
        <v>6</v>
      </c>
    </row>
    <row r="14" spans="2:22" ht="13.8" thickBot="1" x14ac:dyDescent="0.3">
      <c r="B14" s="20" t="s">
        <v>31</v>
      </c>
      <c r="C14" s="21">
        <v>0</v>
      </c>
      <c r="D14" s="22">
        <f t="shared" si="2"/>
        <v>544.8498881248903</v>
      </c>
      <c r="E14" s="18">
        <f t="shared" si="3"/>
        <v>-0.31746565754622008</v>
      </c>
      <c r="F14" s="22">
        <f t="shared" si="0"/>
        <v>430.84399336083146</v>
      </c>
      <c r="G14" s="22">
        <f t="shared" si="7"/>
        <v>526.90977153959579</v>
      </c>
      <c r="H14" s="18">
        <f t="shared" si="4"/>
        <v>-5.288228283028654</v>
      </c>
      <c r="I14" s="22">
        <f t="shared" si="1"/>
        <v>427.14440070674863</v>
      </c>
      <c r="J14" s="18">
        <f t="shared" si="5"/>
        <v>11277.36532798619</v>
      </c>
      <c r="K14" s="18">
        <f t="shared" si="6"/>
        <v>10997.708124736588</v>
      </c>
      <c r="L14" s="29">
        <f>'Maternal lines'!$D$14/(J14/$D$5)</f>
        <v>1.1533964796394953</v>
      </c>
      <c r="M14" s="29">
        <f>'Maternal lines'!$D$15/(K14/$D$5)</f>
        <v>0.98226382483829944</v>
      </c>
      <c r="O14" s="95">
        <f t="shared" si="8"/>
        <v>0</v>
      </c>
      <c r="T14" s="6">
        <v>7</v>
      </c>
    </row>
    <row r="15" spans="2:22" ht="13.8" thickBot="1" x14ac:dyDescent="0.3">
      <c r="B15" s="23"/>
      <c r="C15" s="24" t="s">
        <v>32</v>
      </c>
      <c r="D15" s="25">
        <f>SUMPRODUCT($C$8:$C$14,D8:D14)</f>
        <v>430.84399336083146</v>
      </c>
      <c r="E15" s="25">
        <f>SUMPRODUCT($C$8:$C$14,E8:E14)</f>
        <v>44.852372626991055</v>
      </c>
      <c r="F15" s="26"/>
      <c r="G15" s="25">
        <f>SUMPRODUCT($C$8:$C$14,G8:G14)</f>
        <v>427.14440070674863</v>
      </c>
      <c r="H15" s="25">
        <f>SUMPRODUCT($C$8:$C$14,H8:H14)</f>
        <v>41.734401308381784</v>
      </c>
      <c r="I15" s="26"/>
      <c r="J15" s="26"/>
      <c r="K15" s="26"/>
      <c r="L15" s="30">
        <f>SUMPRODUCT($C$8:$C$14,L8:L14)</f>
        <v>1.3864830691704919</v>
      </c>
      <c r="M15" s="31">
        <f>SUMPRODUCT($C$9:$C$14,M9:M14)/(100%-C8)</f>
        <v>1.098496748942775</v>
      </c>
      <c r="Q15" s="9">
        <f>21*Q17</f>
        <v>52.749294611520199</v>
      </c>
      <c r="R15" s="9">
        <f>365-Q15</f>
        <v>312.25070538847979</v>
      </c>
      <c r="S15" s="9">
        <f>SUM(Q15:R15)</f>
        <v>365</v>
      </c>
    </row>
    <row r="16" spans="2:22" ht="10.95" customHeight="1" x14ac:dyDescent="0.3">
      <c r="G16" s="9"/>
      <c r="H16" s="9"/>
      <c r="Q16" s="27">
        <f>Q15/$S$15</f>
        <v>0.14451861537402794</v>
      </c>
      <c r="R16" s="27">
        <f>R15/$S$15</f>
        <v>0.85548138462597201</v>
      </c>
      <c r="S16" s="9"/>
    </row>
    <row r="17" spans="7:17" x14ac:dyDescent="0.25">
      <c r="G17" s="9"/>
      <c r="H17" s="9"/>
      <c r="Q17" s="28">
        <f>365/(((21+115+7)*0.89)+(((21+21+115+7)*0.11)))</f>
        <v>2.5118711719771523</v>
      </c>
    </row>
    <row r="18" spans="7:17" x14ac:dyDescent="0.25">
      <c r="G18" s="9"/>
      <c r="H18" s="9"/>
      <c r="M18" s="9"/>
    </row>
  </sheetData>
  <mergeCells count="5">
    <mergeCell ref="B2:M2"/>
    <mergeCell ref="B3:M3"/>
    <mergeCell ref="B5:C5"/>
    <mergeCell ref="J6:K6"/>
    <mergeCell ref="L6:M6"/>
  </mergeCells>
  <dataValidations count="2">
    <dataValidation type="whole" operator="greaterThanOrEqual" allowBlank="1" showInputMessage="1" showErrorMessage="1" errorTitle="FAT" error="Please considere &gt;150kg" promptTitle="FAT GILTS" prompt="Fat gilts are considered over than 150kg" sqref="G8" xr:uid="{802D6465-1AAA-4E95-A484-504F01C68E43}">
      <formula1>150</formula1>
    </dataValidation>
    <dataValidation type="decimal" allowBlank="1" showInputMessage="1" showErrorMessage="1" errorTitle="Normal" error="&gt;135 kg_x000a_&lt;150 kg" promptTitle="Normal Gilts" prompt="Normal &gt;135 to 150kg" sqref="D8" xr:uid="{D4B5CB81-E97A-4725-8700-7A04796C12B0}">
      <formula1>135</formula1>
      <formula2>200</formula2>
    </dataValidation>
  </dataValidations>
  <pageMargins left="0.78740157499999996" right="0.78740157499999996" top="0.984251969" bottom="0.984251969" header="0.49212598499999999" footer="0.49212598499999999"/>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5DBE-F86D-491F-892B-31004A97A0F8}">
  <sheetPr>
    <tabColor theme="0"/>
  </sheetPr>
  <dimension ref="A2:AP59"/>
  <sheetViews>
    <sheetView showGridLines="0" workbookViewId="0">
      <selection activeCell="AP10" sqref="AP10"/>
    </sheetView>
  </sheetViews>
  <sheetFormatPr defaultColWidth="9.109375" defaultRowHeight="14.4" x14ac:dyDescent="0.3"/>
  <cols>
    <col min="1" max="1" width="18.109375" style="33" bestFit="1" customWidth="1"/>
    <col min="2" max="2" width="12" style="33" bestFit="1" customWidth="1"/>
    <col min="3" max="3" width="2.109375" style="33" customWidth="1"/>
    <col min="4" max="10" width="14" style="33" customWidth="1"/>
    <col min="11" max="11" width="2.88671875" style="33" customWidth="1"/>
    <col min="12" max="15" width="14" style="33" customWidth="1"/>
    <col min="16" max="16" width="2.88671875" style="33" customWidth="1"/>
    <col min="17" max="20" width="14" style="33" customWidth="1"/>
    <col min="21" max="21" width="2.88671875" style="33" customWidth="1"/>
    <col min="22" max="27" width="12" style="33" customWidth="1"/>
    <col min="28" max="31" width="14" style="33" customWidth="1"/>
    <col min="32" max="32" width="3.6640625" customWidth="1"/>
    <col min="33" max="33" width="11.88671875" style="33" customWidth="1"/>
    <col min="34" max="34" width="15.33203125" style="33" bestFit="1" customWidth="1"/>
    <col min="35" max="35" width="21.109375" style="33" bestFit="1" customWidth="1"/>
    <col min="36" max="36" width="6.6640625" style="33" bestFit="1" customWidth="1"/>
    <col min="37" max="37" width="2.88671875" style="33" customWidth="1"/>
    <col min="38" max="42" width="12" style="33" customWidth="1"/>
    <col min="43" max="16384" width="9.109375" style="33"/>
  </cols>
  <sheetData>
    <row r="2" spans="1:42" ht="15" thickBot="1" x14ac:dyDescent="0.35">
      <c r="M2" s="36"/>
    </row>
    <row r="3" spans="1:42" ht="15" thickBot="1" x14ac:dyDescent="0.35">
      <c r="AB3" s="161" t="s">
        <v>59</v>
      </c>
      <c r="AC3" s="162"/>
      <c r="AD3" s="162"/>
      <c r="AE3" s="163"/>
      <c r="AF3" s="33"/>
      <c r="AG3" s="38" t="s">
        <v>58</v>
      </c>
      <c r="AH3" s="39"/>
      <c r="AI3" s="40"/>
      <c r="AJ3" s="41"/>
    </row>
    <row r="4" spans="1:42" x14ac:dyDescent="0.3">
      <c r="A4" s="67"/>
      <c r="B4" s="68">
        <f>B8/B9</f>
        <v>3.146126147626588</v>
      </c>
      <c r="D4" s="116" t="s">
        <v>52</v>
      </c>
      <c r="E4" s="58"/>
      <c r="F4" s="58"/>
      <c r="G4" s="40"/>
      <c r="H4" s="40"/>
      <c r="I4" s="40"/>
      <c r="J4" s="41"/>
      <c r="L4" s="161" t="s">
        <v>59</v>
      </c>
      <c r="M4" s="162"/>
      <c r="N4" s="162"/>
      <c r="O4" s="163"/>
      <c r="Q4" s="164" t="s">
        <v>58</v>
      </c>
      <c r="R4" s="165"/>
      <c r="S4" s="165"/>
      <c r="T4" s="166"/>
      <c r="AB4" s="42" t="s">
        <v>65</v>
      </c>
      <c r="AC4" s="43" t="s">
        <v>68</v>
      </c>
      <c r="AD4" s="43" t="s">
        <v>66</v>
      </c>
      <c r="AE4" s="61" t="s">
        <v>67</v>
      </c>
      <c r="AF4" s="33"/>
      <c r="AG4" s="42" t="s">
        <v>74</v>
      </c>
      <c r="AH4" s="43" t="s">
        <v>73</v>
      </c>
      <c r="AI4" s="44" t="s">
        <v>35</v>
      </c>
      <c r="AJ4" s="45" t="s">
        <v>34</v>
      </c>
    </row>
    <row r="5" spans="1:42" x14ac:dyDescent="0.3">
      <c r="A5" s="42" t="str">
        <f>'Terminal lines'!B6</f>
        <v>Dietary NE, MJ/lb using high fiber  (&gt;12% NDF)</v>
      </c>
      <c r="B5" s="69">
        <f>'Terminal lines'!C6</f>
        <v>4.6769999999999996</v>
      </c>
      <c r="D5" s="59"/>
      <c r="E5" s="60"/>
      <c r="F5" s="167" t="s">
        <v>94</v>
      </c>
      <c r="G5" s="167"/>
      <c r="H5" s="167" t="s">
        <v>70</v>
      </c>
      <c r="I5" s="167"/>
      <c r="J5" s="61"/>
      <c r="L5" s="62" t="s">
        <v>63</v>
      </c>
      <c r="M5" s="152" t="s">
        <v>55</v>
      </c>
      <c r="N5" s="152" t="s">
        <v>64</v>
      </c>
      <c r="O5" s="80" t="s">
        <v>55</v>
      </c>
      <c r="Q5" s="62" t="s">
        <v>61</v>
      </c>
      <c r="R5" s="82" t="s">
        <v>62</v>
      </c>
      <c r="S5" s="44" t="s">
        <v>9</v>
      </c>
      <c r="T5" s="45" t="s">
        <v>56</v>
      </c>
      <c r="V5" s="160" t="s">
        <v>95</v>
      </c>
      <c r="W5" s="160"/>
      <c r="X5" s="160" t="s">
        <v>97</v>
      </c>
      <c r="Y5" s="160"/>
      <c r="AB5" s="73">
        <f t="shared" ref="AB5:AB36" si="0">CONVERT(L6,"kg","lbm")</f>
        <v>299.62701878628434</v>
      </c>
      <c r="AC5" s="74">
        <f t="shared" ref="AC5:AC36" si="1">CONVERT(M6,"cm","in")</f>
        <v>35.15748031496063</v>
      </c>
      <c r="AD5" s="74">
        <f t="shared" ref="AD5:AD36" si="2">CONVERT(N6,"kg","lbm")</f>
        <v>299.62701878628434</v>
      </c>
      <c r="AE5" s="75">
        <f t="shared" ref="AE5:AE36" si="3">CONVERT(O6,"cm","in")</f>
        <v>35.15748031496063</v>
      </c>
      <c r="AF5" s="33"/>
      <c r="AG5" s="46" t="s">
        <v>75</v>
      </c>
      <c r="AH5" s="44" t="s">
        <v>60</v>
      </c>
      <c r="AI5" s="47" t="s">
        <v>53</v>
      </c>
      <c r="AJ5" s="48">
        <f t="shared" ref="AJ5:AJ12" si="4">CONVERT(T6,"kg","lbm")</f>
        <v>3.2773701747990209</v>
      </c>
      <c r="AL5" s="160" t="s">
        <v>109</v>
      </c>
      <c r="AM5" s="160"/>
      <c r="AN5" s="160" t="s">
        <v>110</v>
      </c>
      <c r="AO5" s="160"/>
    </row>
    <row r="6" spans="1:42" x14ac:dyDescent="0.3">
      <c r="A6" s="42" t="s">
        <v>92</v>
      </c>
      <c r="B6" s="69">
        <f>CONVERT('Terminal lines'!D14,"lbm","kg")</f>
        <v>1.4822891815225057</v>
      </c>
      <c r="D6" s="62" t="s">
        <v>57</v>
      </c>
      <c r="E6" s="152" t="s">
        <v>69</v>
      </c>
      <c r="F6" s="152" t="s">
        <v>50</v>
      </c>
      <c r="G6" s="152" t="s">
        <v>49</v>
      </c>
      <c r="H6" s="152" t="s">
        <v>50</v>
      </c>
      <c r="I6" s="152" t="s">
        <v>49</v>
      </c>
      <c r="J6" s="80" t="s">
        <v>51</v>
      </c>
      <c r="L6" s="73">
        <f>((M6*0.0507) + 0.6139)^3</f>
        <v>135.90852956730524</v>
      </c>
      <c r="M6" s="152">
        <v>89.3</v>
      </c>
      <c r="N6" s="74">
        <f>((O6*0.0507) + 0.6139)^3</f>
        <v>135.90852956730524</v>
      </c>
      <c r="O6" s="80">
        <v>89.3</v>
      </c>
      <c r="Q6" s="46" t="s">
        <v>71</v>
      </c>
      <c r="R6" s="44" t="s">
        <v>72</v>
      </c>
      <c r="S6" s="44" t="s">
        <v>54</v>
      </c>
      <c r="T6" s="55">
        <f>VLOOKUP(FFS!B7,FFS!$F$7:$I$30,3)</f>
        <v>1.4865901049544024</v>
      </c>
      <c r="AB6" s="73">
        <f t="shared" si="0"/>
        <v>304.08088847650538</v>
      </c>
      <c r="AC6" s="74">
        <f t="shared" si="1"/>
        <v>35.354330708661422</v>
      </c>
      <c r="AD6" s="74">
        <f t="shared" si="2"/>
        <v>304.08088847650538</v>
      </c>
      <c r="AE6" s="75">
        <f t="shared" si="3"/>
        <v>35.354330708661422</v>
      </c>
      <c r="AF6" s="33"/>
      <c r="AG6" s="49">
        <f>VLOOKUP(AI6,$AB$5:AC57,2,TRUE)</f>
        <v>39.29133858267717</v>
      </c>
      <c r="AH6" s="50">
        <f>VLOOKUP(AI6,$AD$5:$AE$57,2,TRUE)</f>
        <v>39.29133858267717</v>
      </c>
      <c r="AI6" s="47">
        <f>CONVERT(S7,"kg","lbm")</f>
        <v>407.85518504202349</v>
      </c>
      <c r="AJ6" s="48">
        <f>CONVERT(T7,"kg","lbm")</f>
        <v>3.345414343671413</v>
      </c>
    </row>
    <row r="7" spans="1:42" x14ac:dyDescent="0.3">
      <c r="A7" s="42" t="s">
        <v>93</v>
      </c>
      <c r="B7" s="70">
        <v>180</v>
      </c>
      <c r="D7" s="63">
        <f t="shared" ref="D7:D30" si="5">((0.1*F7^0.75))</f>
        <v>3.9605028155702722</v>
      </c>
      <c r="E7" s="64">
        <f>D7/$B$10</f>
        <v>1.1980837707978036</v>
      </c>
      <c r="F7" s="44">
        <v>135</v>
      </c>
      <c r="G7" s="47">
        <f>F7*2.204622</f>
        <v>297.62396999999999</v>
      </c>
      <c r="H7" s="64">
        <f>IF(CONVERT('Terminal lines'!$D$14,"lbm","kg")&gt;E7,CONVERT('Terminal lines'!$D$14,"lbm","kg"),E7)</f>
        <v>1.4822891815225057</v>
      </c>
      <c r="I7" s="50">
        <f>CONVERT(H7,"kg","lbm")</f>
        <v>3.2678882617062222</v>
      </c>
      <c r="J7" s="117">
        <f>($B$10*H7)/((0.1*F7^0.75))</f>
        <v>1.2372166434868321</v>
      </c>
      <c r="L7" s="73">
        <f t="shared" ref="L7:L58" si="6">((M7*0.0507) + 0.6139)^3</f>
        <v>137.92877087576377</v>
      </c>
      <c r="M7" s="152">
        <f>M6+0.5</f>
        <v>89.8</v>
      </c>
      <c r="N7" s="74">
        <f t="shared" ref="N7:N58" si="7">((O7*0.0507) + 0.6139)^3</f>
        <v>137.92877087576377</v>
      </c>
      <c r="O7" s="80">
        <f>O6+0.5</f>
        <v>89.8</v>
      </c>
      <c r="Q7" s="49">
        <f t="shared" ref="Q7:Q13" si="8">VLOOKUP(S7,$L$6:$M$58,2,TRUE)</f>
        <v>99.8</v>
      </c>
      <c r="R7" s="50">
        <f t="shared" ref="R7:R13" si="9">VLOOKUP(S7,$N$6:$O$58,2,TRUE)</f>
        <v>99.8</v>
      </c>
      <c r="S7" s="44">
        <v>185</v>
      </c>
      <c r="T7" s="55">
        <f>VLOOKUP(S7,FFS!$F$7:$I$30,3)</f>
        <v>1.5174544207779108</v>
      </c>
      <c r="V7" s="119">
        <f t="shared" ref="V7:W9" si="10">(X7^(1/3)-0.6139)/0.0507</f>
        <v>89.342060931815624</v>
      </c>
      <c r="W7" s="119">
        <f t="shared" si="10"/>
        <v>98.138709190555716</v>
      </c>
      <c r="X7" s="37">
        <f>CONVERT(AN7,"lbm","kg")</f>
        <v>136.07771100000002</v>
      </c>
      <c r="Y7" s="37">
        <f>CONVERT(AO7,"lbm","kg")</f>
        <v>174.63306245000001</v>
      </c>
      <c r="Z7" s="120">
        <f>IF($B$10&gt;3.5,(100*(Y7^0.75))/($B$10*1000),(100*(Y7^0.75))/($B$10*1000))</f>
        <v>1.4532211551683969</v>
      </c>
      <c r="AB7" s="73">
        <f t="shared" si="0"/>
        <v>308.57867790322615</v>
      </c>
      <c r="AC7" s="74">
        <f t="shared" si="1"/>
        <v>35.551181102362207</v>
      </c>
      <c r="AD7" s="74">
        <f t="shared" si="2"/>
        <v>308.57867790322615</v>
      </c>
      <c r="AE7" s="75">
        <f t="shared" si="3"/>
        <v>35.551181102362207</v>
      </c>
      <c r="AF7" s="33"/>
      <c r="AG7" s="49">
        <f>VLOOKUP(AI7,$AB$5:AC58,2,TRUE)</f>
        <v>40.078740157480318</v>
      </c>
      <c r="AH7" s="50">
        <f t="shared" ref="AH7:AH12" si="11">VLOOKUP(AI7,$AD$5:$AE$57,2,TRUE)</f>
        <v>40.078740157480318</v>
      </c>
      <c r="AI7" s="47">
        <f t="shared" ref="AI7:AI12" si="12">CONVERT(S8,"kg","lbm")</f>
        <v>429.90141126051128</v>
      </c>
      <c r="AJ7" s="48">
        <f t="shared" si="4"/>
        <v>3.480142897979174</v>
      </c>
      <c r="AL7" s="119">
        <f>CONVERT(V7,"cm","in")</f>
        <v>35.174039736935292</v>
      </c>
      <c r="AM7" s="119">
        <f>CONVERT(W7,"cm","in")</f>
        <v>38.637287082895952</v>
      </c>
      <c r="AN7" s="37">
        <v>300</v>
      </c>
      <c r="AO7" s="37">
        <v>385</v>
      </c>
      <c r="AP7" s="120">
        <f>CONVERT(Z7,"kg","lbm")</f>
        <v>3.2038042332334573</v>
      </c>
    </row>
    <row r="8" spans="1:42" x14ac:dyDescent="0.3">
      <c r="A8" s="42" t="s">
        <v>48</v>
      </c>
      <c r="B8" s="69">
        <f>B10*B5</f>
        <v>15.460748338229738</v>
      </c>
      <c r="D8" s="63">
        <f t="shared" si="5"/>
        <v>4.0700151587775339</v>
      </c>
      <c r="E8" s="64">
        <f t="shared" ref="E8:E30" si="13">D8/$B$10</f>
        <v>1.231212130303784</v>
      </c>
      <c r="F8" s="44">
        <v>140</v>
      </c>
      <c r="G8" s="47">
        <f t="shared" ref="G8:G30" si="14">F8*2.204622</f>
        <v>308.64708000000002</v>
      </c>
      <c r="H8" s="64">
        <f>IF(CONVERT('Terminal lines'!$D$14,"lbm","kg")&gt;E8,CONVERT('Terminal lines'!$D$14,"lbm","kg"),E8)</f>
        <v>1.4822891815225057</v>
      </c>
      <c r="I8" s="50">
        <f t="shared" ref="I8:I30" si="15">CONVERT(H8,"kg","lbm")</f>
        <v>3.2678882617062222</v>
      </c>
      <c r="J8" s="117">
        <f t="shared" ref="J8:J30" si="16">($B$10*H8)/((0.1*F8^0.75))</f>
        <v>1.203926719887638</v>
      </c>
      <c r="L8" s="73">
        <f t="shared" si="6"/>
        <v>139.96893384159097</v>
      </c>
      <c r="M8" s="152">
        <v>90.3</v>
      </c>
      <c r="N8" s="74">
        <f t="shared" si="7"/>
        <v>139.96893384159097</v>
      </c>
      <c r="O8" s="80">
        <f>O7+0.5</f>
        <v>90.3</v>
      </c>
      <c r="Q8" s="49">
        <f t="shared" si="8"/>
        <v>101.8</v>
      </c>
      <c r="R8" s="50">
        <f t="shared" si="9"/>
        <v>101.8</v>
      </c>
      <c r="S8" s="44">
        <v>195</v>
      </c>
      <c r="T8" s="55">
        <f>VLOOKUP(S8,FFS!$F$7:$I$30,3)</f>
        <v>1.5785662650330419</v>
      </c>
      <c r="V8" s="119">
        <f t="shared" si="10"/>
        <v>98.23407878002709</v>
      </c>
      <c r="W8" s="119">
        <f t="shared" si="10"/>
        <v>103.1567111771655</v>
      </c>
      <c r="X8" s="37">
        <f>CONVERT(AN8,"lbm","kg")</f>
        <v>175.08665482000001</v>
      </c>
      <c r="Y8" s="37">
        <f t="shared" ref="X8:Y9" si="17">CONVERT(AO8,"lbm","kg")</f>
        <v>199.58064279999999</v>
      </c>
      <c r="Z8" s="120">
        <f>IF($B$10&gt;3.5,(100*(Y8^0.75))/($B$10*1000),(100*(Y8^0.75))/($B$10*1000))</f>
        <v>1.6062963469403897</v>
      </c>
      <c r="AB8" s="73">
        <f t="shared" si="0"/>
        <v>313.12060255261548</v>
      </c>
      <c r="AC8" s="74">
        <f t="shared" si="1"/>
        <v>35.748031496062993</v>
      </c>
      <c r="AD8" s="74">
        <f t="shared" si="2"/>
        <v>313.12060255261548</v>
      </c>
      <c r="AE8" s="75">
        <f t="shared" si="3"/>
        <v>35.748031496062993</v>
      </c>
      <c r="AF8" s="33"/>
      <c r="AG8" s="49">
        <f>VLOOKUP(AI8,$AB$5:AC59,2,TRUE)</f>
        <v>40.866141732283467</v>
      </c>
      <c r="AH8" s="50">
        <f t="shared" si="11"/>
        <v>40.866141732283467</v>
      </c>
      <c r="AI8" s="47">
        <f t="shared" si="12"/>
        <v>451.94763747899901</v>
      </c>
      <c r="AJ8" s="48">
        <f t="shared" si="4"/>
        <v>3.6131543464892144</v>
      </c>
      <c r="AL8" s="119">
        <f t="shared" ref="AL8:AL9" si="18">CONVERT(V8,"cm","in")</f>
        <v>38.674834165364999</v>
      </c>
      <c r="AM8" s="119">
        <f t="shared" ref="AM8:AM9" si="19">CONVERT(W8,"cm","in")</f>
        <v>40.61287841620689</v>
      </c>
      <c r="AN8" s="37">
        <v>386</v>
      </c>
      <c r="AO8" s="37">
        <v>440</v>
      </c>
      <c r="AP8" s="120">
        <f>CONVERT(Z8,"kg","lbm")</f>
        <v>3.5412772638578325</v>
      </c>
    </row>
    <row r="9" spans="1:42" ht="15" thickBot="1" x14ac:dyDescent="0.35">
      <c r="A9" s="71" t="s">
        <v>47</v>
      </c>
      <c r="B9" s="72">
        <f>B7^0.75*0.1</f>
        <v>4.9142175528763206</v>
      </c>
      <c r="D9" s="63">
        <f t="shared" si="5"/>
        <v>4.1785538334750241</v>
      </c>
      <c r="E9" s="64">
        <f t="shared" si="13"/>
        <v>1.264045947299882</v>
      </c>
      <c r="F9" s="44">
        <v>145</v>
      </c>
      <c r="G9" s="47">
        <f t="shared" si="14"/>
        <v>319.67018999999999</v>
      </c>
      <c r="H9" s="64">
        <f>IF(CONVERT('Terminal lines'!$D$14,"lbm","kg")&gt;E9,CONVERT('Terminal lines'!$D$14,"lbm","kg"),E9)</f>
        <v>1.4822891815225057</v>
      </c>
      <c r="I9" s="50">
        <f t="shared" si="15"/>
        <v>3.2678882617062222</v>
      </c>
      <c r="J9" s="117">
        <f t="shared" si="16"/>
        <v>1.1726545104541581</v>
      </c>
      <c r="L9" s="73">
        <f t="shared" si="6"/>
        <v>142.02911620766892</v>
      </c>
      <c r="M9" s="152">
        <f t="shared" ref="M9" si="20">M8+0.5</f>
        <v>90.8</v>
      </c>
      <c r="N9" s="74">
        <f t="shared" si="7"/>
        <v>142.02911620766892</v>
      </c>
      <c r="O9" s="80">
        <f t="shared" ref="O9:O58" si="21">O8+0.5</f>
        <v>90.8</v>
      </c>
      <c r="Q9" s="49">
        <f t="shared" si="8"/>
        <v>103.8</v>
      </c>
      <c r="R9" s="50">
        <f t="shared" si="9"/>
        <v>103.8</v>
      </c>
      <c r="S9" s="44">
        <v>205</v>
      </c>
      <c r="T9" s="55">
        <f>VLOOKUP(S9,FFS!$F$7:$I$30,3)</f>
        <v>1.6388992431998439</v>
      </c>
      <c r="V9" s="119">
        <f t="shared" si="10"/>
        <v>103.24396722293251</v>
      </c>
      <c r="W9" s="119">
        <f t="shared" si="10"/>
        <v>108.17443682675058</v>
      </c>
      <c r="X9" s="37">
        <f t="shared" si="17"/>
        <v>200.03423517000002</v>
      </c>
      <c r="Y9" s="37">
        <f t="shared" si="17"/>
        <v>226.79618500000001</v>
      </c>
      <c r="Z9" s="120">
        <f>IF($B$10&gt;3.5,(100*(Y9^0.75))/($B$10*1000),(100*(Y9^0.75))/($B$10*1000))</f>
        <v>1.7679243096301311</v>
      </c>
      <c r="AB9" s="73">
        <f t="shared" si="0"/>
        <v>317.70687791084333</v>
      </c>
      <c r="AC9" s="74">
        <f t="shared" si="1"/>
        <v>35.944881889763778</v>
      </c>
      <c r="AD9" s="74">
        <f t="shared" si="2"/>
        <v>317.70687791084333</v>
      </c>
      <c r="AE9" s="75">
        <f t="shared" si="3"/>
        <v>35.944881889763778</v>
      </c>
      <c r="AF9" s="33"/>
      <c r="AG9" s="49">
        <f>VLOOKUP(AI9,$AB$5:AC60,2,TRUE)</f>
        <v>41.653543307086615</v>
      </c>
      <c r="AH9" s="50">
        <f t="shared" si="11"/>
        <v>41.653543307086615</v>
      </c>
      <c r="AI9" s="47">
        <f t="shared" si="12"/>
        <v>473.9938636974868</v>
      </c>
      <c r="AJ9" s="48">
        <f t="shared" si="4"/>
        <v>3.7445528391871075</v>
      </c>
      <c r="AL9" s="119">
        <f t="shared" si="18"/>
        <v>40.64723119013091</v>
      </c>
      <c r="AM9" s="119">
        <f t="shared" si="19"/>
        <v>42.588360955413613</v>
      </c>
      <c r="AN9" s="37">
        <v>441</v>
      </c>
      <c r="AO9" s="37">
        <v>500</v>
      </c>
      <c r="AP9" s="120">
        <f>CONVERT(Z9,"kg","lbm")</f>
        <v>3.8976059267269667</v>
      </c>
    </row>
    <row r="10" spans="1:42" x14ac:dyDescent="0.3">
      <c r="A10" s="33" t="s">
        <v>129</v>
      </c>
      <c r="B10" s="153">
        <f>'Terminal lines'!C7/1000</f>
        <v>3.3056977417638955</v>
      </c>
      <c r="D10" s="63">
        <f t="shared" si="5"/>
        <v>4.2861606445481994</v>
      </c>
      <c r="E10" s="64">
        <f t="shared" si="13"/>
        <v>1.2965978680982297</v>
      </c>
      <c r="F10" s="44">
        <v>150</v>
      </c>
      <c r="G10" s="47">
        <f t="shared" si="14"/>
        <v>330.69330000000002</v>
      </c>
      <c r="H10" s="64">
        <f>IF(CONVERT('Terminal lines'!$D$14,"lbm","kg")&gt;E10,CONVERT('Terminal lines'!$D$14,"lbm","kg"),E10)</f>
        <v>1.4822891815225057</v>
      </c>
      <c r="I10" s="50">
        <f t="shared" si="15"/>
        <v>3.2678882617062222</v>
      </c>
      <c r="J10" s="117">
        <f t="shared" si="16"/>
        <v>1.1432142671163239</v>
      </c>
      <c r="L10" s="73">
        <f t="shared" si="6"/>
        <v>144.10941571688008</v>
      </c>
      <c r="M10" s="152">
        <v>91.3</v>
      </c>
      <c r="N10" s="74">
        <f t="shared" si="7"/>
        <v>144.10941571688008</v>
      </c>
      <c r="O10" s="80">
        <f t="shared" si="21"/>
        <v>91.3</v>
      </c>
      <c r="Q10" s="49">
        <f t="shared" si="8"/>
        <v>105.8</v>
      </c>
      <c r="R10" s="50">
        <f t="shared" si="9"/>
        <v>105.8</v>
      </c>
      <c r="S10" s="44">
        <v>215</v>
      </c>
      <c r="T10" s="55">
        <f>VLOOKUP(S10,FFS!$F$7:$I$30,3)</f>
        <v>1.698500596917109</v>
      </c>
      <c r="V10" s="119"/>
      <c r="W10" s="119"/>
      <c r="X10" s="37"/>
      <c r="Y10" s="37"/>
      <c r="Z10" s="120"/>
      <c r="AB10" s="73">
        <f t="shared" si="0"/>
        <v>322.33771946407848</v>
      </c>
      <c r="AC10" s="74">
        <f t="shared" si="1"/>
        <v>36.14173228346457</v>
      </c>
      <c r="AD10" s="74">
        <f t="shared" si="2"/>
        <v>322.33771946407848</v>
      </c>
      <c r="AE10" s="75">
        <f t="shared" si="3"/>
        <v>36.14173228346457</v>
      </c>
      <c r="AF10" s="33"/>
      <c r="AG10" s="49">
        <f>VLOOKUP(AI10,$AB$5:AC61,2,TRUE)</f>
        <v>42.440944881889763</v>
      </c>
      <c r="AH10" s="50">
        <f t="shared" si="11"/>
        <v>42.440944881889763</v>
      </c>
      <c r="AI10" s="47">
        <f t="shared" si="12"/>
        <v>496.04008991597453</v>
      </c>
      <c r="AJ10" s="48">
        <f t="shared" si="4"/>
        <v>3.8744316780168067</v>
      </c>
      <c r="AL10" s="119"/>
      <c r="AM10" s="119"/>
      <c r="AN10" s="37"/>
      <c r="AO10" s="37"/>
      <c r="AP10" s="120"/>
    </row>
    <row r="11" spans="1:42" x14ac:dyDescent="0.3">
      <c r="D11" s="63">
        <f t="shared" si="5"/>
        <v>4.3928742728289576</v>
      </c>
      <c r="E11" s="64">
        <f t="shared" si="13"/>
        <v>1.3288795939597771</v>
      </c>
      <c r="F11" s="44">
        <v>155</v>
      </c>
      <c r="G11" s="47">
        <f t="shared" si="14"/>
        <v>341.71641</v>
      </c>
      <c r="H11" s="64">
        <f>IF(CONVERT('Terminal lines'!$D$14,"lbm","kg")&gt;E11,CONVERT('Terminal lines'!$D$14,"lbm","kg"),E11)</f>
        <v>1.4822891815225057</v>
      </c>
      <c r="I11" s="50">
        <f t="shared" si="15"/>
        <v>3.2678882617062222</v>
      </c>
      <c r="J11" s="117">
        <f t="shared" si="16"/>
        <v>1.1154428047958813</v>
      </c>
      <c r="L11" s="73">
        <f t="shared" si="6"/>
        <v>146.20993011210649</v>
      </c>
      <c r="M11" s="152">
        <f t="shared" ref="M11" si="22">M10+0.5</f>
        <v>91.8</v>
      </c>
      <c r="N11" s="74">
        <f t="shared" si="7"/>
        <v>146.20993011210649</v>
      </c>
      <c r="O11" s="80">
        <f t="shared" si="21"/>
        <v>91.8</v>
      </c>
      <c r="Q11" s="49">
        <f t="shared" si="8"/>
        <v>107.8</v>
      </c>
      <c r="R11" s="50">
        <f t="shared" si="9"/>
        <v>107.8</v>
      </c>
      <c r="S11" s="44">
        <v>225</v>
      </c>
      <c r="T11" s="55">
        <f>VLOOKUP(S11,FFS!$F$7:$I$30,3)</f>
        <v>1.7574126472347202</v>
      </c>
      <c r="V11" s="119"/>
      <c r="W11" s="119"/>
      <c r="X11" s="37"/>
      <c r="Y11" s="37"/>
      <c r="Z11" s="120"/>
      <c r="AB11" s="73">
        <f t="shared" si="0"/>
        <v>327.01334269849065</v>
      </c>
      <c r="AC11" s="74">
        <f t="shared" si="1"/>
        <v>36.338582677165356</v>
      </c>
      <c r="AD11" s="74">
        <f t="shared" si="2"/>
        <v>327.01334269849065</v>
      </c>
      <c r="AE11" s="75">
        <f t="shared" si="3"/>
        <v>36.338582677165356</v>
      </c>
      <c r="AF11" s="33"/>
      <c r="AG11" s="49">
        <f>VLOOKUP(AI11,$AB$5:AC62,2,TRUE)</f>
        <v>43.031496062992126</v>
      </c>
      <c r="AH11" s="50">
        <f t="shared" si="11"/>
        <v>43.031496062992126</v>
      </c>
      <c r="AI11" s="47">
        <f t="shared" si="12"/>
        <v>518.08631613446232</v>
      </c>
      <c r="AJ11" s="48">
        <f t="shared" si="4"/>
        <v>4.0028748772059144</v>
      </c>
      <c r="AL11" s="119"/>
      <c r="AM11" s="119"/>
      <c r="AN11" s="37"/>
      <c r="AO11" s="37"/>
      <c r="AP11" s="120"/>
    </row>
    <row r="12" spans="1:42" ht="15" thickBot="1" x14ac:dyDescent="0.35">
      <c r="D12" s="63">
        <f t="shared" si="5"/>
        <v>4.4987306015227917</v>
      </c>
      <c r="E12" s="64">
        <f t="shared" si="13"/>
        <v>1.3609019798411159</v>
      </c>
      <c r="F12" s="44">
        <v>160</v>
      </c>
      <c r="G12" s="47">
        <f t="shared" si="14"/>
        <v>352.73952000000003</v>
      </c>
      <c r="H12" s="64">
        <f>IF(CONVERT('Terminal lines'!$D$14,"lbm","kg")&gt;E12,CONVERT('Terminal lines'!$D$14,"lbm","kg"),E12)</f>
        <v>1.4822891815225057</v>
      </c>
      <c r="I12" s="50">
        <f t="shared" si="15"/>
        <v>3.2678882617062222</v>
      </c>
      <c r="J12" s="117">
        <f t="shared" si="16"/>
        <v>1.0891961386488405</v>
      </c>
      <c r="L12" s="73">
        <f t="shared" si="6"/>
        <v>148.33075713623057</v>
      </c>
      <c r="M12" s="152">
        <v>92.3</v>
      </c>
      <c r="N12" s="74">
        <f t="shared" si="7"/>
        <v>148.33075713623057</v>
      </c>
      <c r="O12" s="80">
        <f t="shared" si="21"/>
        <v>92.3</v>
      </c>
      <c r="Q12" s="49">
        <f t="shared" si="8"/>
        <v>109.3</v>
      </c>
      <c r="R12" s="50">
        <f t="shared" si="9"/>
        <v>109.3</v>
      </c>
      <c r="S12" s="44">
        <v>235</v>
      </c>
      <c r="T12" s="55">
        <f>VLOOKUP(S12,FFS!$F$7:$I$30,3)</f>
        <v>1.8156735023652899</v>
      </c>
      <c r="V12" s="119"/>
      <c r="W12" s="119"/>
      <c r="X12" s="37"/>
      <c r="Y12" s="37"/>
      <c r="Z12" s="120"/>
      <c r="AB12" s="73">
        <f t="shared" si="0"/>
        <v>331.73396310024884</v>
      </c>
      <c r="AC12" s="74">
        <f t="shared" si="1"/>
        <v>36.535433070866141</v>
      </c>
      <c r="AD12" s="74">
        <f t="shared" si="2"/>
        <v>331.73396310024884</v>
      </c>
      <c r="AE12" s="75">
        <f t="shared" si="3"/>
        <v>36.535433070866141</v>
      </c>
      <c r="AF12" s="33"/>
      <c r="AG12" s="51">
        <f>VLOOKUP(AI12,$AB$5:AC63,2,TRUE)</f>
        <v>43.818897637795274</v>
      </c>
      <c r="AH12" s="52">
        <f t="shared" si="11"/>
        <v>43.818897637795274</v>
      </c>
      <c r="AI12" s="53">
        <f t="shared" si="12"/>
        <v>540.13254235295005</v>
      </c>
      <c r="AJ12" s="54">
        <f t="shared" si="4"/>
        <v>4.129958442471577</v>
      </c>
      <c r="AL12" s="119"/>
      <c r="AM12" s="119"/>
      <c r="AN12" s="37"/>
      <c r="AO12" s="37"/>
      <c r="AP12" s="120"/>
    </row>
    <row r="13" spans="1:42" ht="15" thickBot="1" x14ac:dyDescent="0.35">
      <c r="D13" s="63">
        <f t="shared" si="5"/>
        <v>4.6037629994166149</v>
      </c>
      <c r="E13" s="64">
        <f t="shared" si="13"/>
        <v>1.3926751200671121</v>
      </c>
      <c r="F13" s="44">
        <v>165</v>
      </c>
      <c r="G13" s="47">
        <f t="shared" si="14"/>
        <v>363.76263</v>
      </c>
      <c r="H13" s="64">
        <f>IF(CONVERT('Terminal lines'!$D$14,"lbm","kg")&gt;E13,CONVERT('Terminal lines'!$D$14,"lbm","kg"),E13)</f>
        <v>1.4822891815225057</v>
      </c>
      <c r="I13" s="50">
        <f t="shared" si="15"/>
        <v>3.2678882617062222</v>
      </c>
      <c r="J13" s="117">
        <f t="shared" si="16"/>
        <v>1.0643467095549715</v>
      </c>
      <c r="L13" s="73">
        <f t="shared" si="6"/>
        <v>150.47199453213443</v>
      </c>
      <c r="M13" s="152">
        <f t="shared" ref="M13" si="23">M12+0.5</f>
        <v>92.8</v>
      </c>
      <c r="N13" s="74">
        <f t="shared" si="7"/>
        <v>150.47199453213443</v>
      </c>
      <c r="O13" s="80">
        <f t="shared" si="21"/>
        <v>92.8</v>
      </c>
      <c r="Q13" s="51">
        <f t="shared" si="8"/>
        <v>111.3</v>
      </c>
      <c r="R13" s="52">
        <f t="shared" si="9"/>
        <v>111.3</v>
      </c>
      <c r="S13" s="56">
        <v>245</v>
      </c>
      <c r="T13" s="57">
        <f>VLOOKUP(S13,FFS!$F$7:$I$30,3)</f>
        <v>1.8733176379221914</v>
      </c>
      <c r="V13" s="119"/>
      <c r="W13" s="119"/>
      <c r="X13" s="37"/>
      <c r="Y13" s="37"/>
      <c r="Z13" s="120"/>
      <c r="AB13" s="73">
        <f t="shared" si="0"/>
        <v>336.4997961555228</v>
      </c>
      <c r="AC13" s="74">
        <f t="shared" si="1"/>
        <v>36.732283464566933</v>
      </c>
      <c r="AD13" s="74">
        <f t="shared" si="2"/>
        <v>336.4997961555228</v>
      </c>
      <c r="AE13" s="75">
        <f t="shared" si="3"/>
        <v>36.732283464566933</v>
      </c>
      <c r="AF13" s="33"/>
      <c r="AG13" s="35"/>
      <c r="AH13" s="35"/>
      <c r="AL13" s="119"/>
      <c r="AM13" s="119"/>
      <c r="AN13" s="37"/>
      <c r="AO13" s="37"/>
      <c r="AP13" s="120"/>
    </row>
    <row r="14" spans="1:42" x14ac:dyDescent="0.3">
      <c r="D14" s="63">
        <f t="shared" si="5"/>
        <v>4.7080025677232822</v>
      </c>
      <c r="E14" s="64">
        <f t="shared" si="13"/>
        <v>1.4242084230033467</v>
      </c>
      <c r="F14" s="44">
        <v>170</v>
      </c>
      <c r="G14" s="47">
        <f t="shared" si="14"/>
        <v>374.78574000000003</v>
      </c>
      <c r="H14" s="64">
        <f>IF(CONVERT('Terminal lines'!$D$14,"lbm","kg")&gt;E14,CONVERT('Terminal lines'!$D$14,"lbm","kg"),E14)</f>
        <v>1.4822891815225057</v>
      </c>
      <c r="I14" s="50">
        <f t="shared" si="15"/>
        <v>3.2678882617062222</v>
      </c>
      <c r="J14" s="117">
        <f t="shared" si="16"/>
        <v>1.0407810806206856</v>
      </c>
      <c r="L14" s="73">
        <f t="shared" si="6"/>
        <v>152.63374004270048</v>
      </c>
      <c r="M14" s="152">
        <v>93.3</v>
      </c>
      <c r="N14" s="74">
        <f t="shared" si="7"/>
        <v>152.63374004270048</v>
      </c>
      <c r="O14" s="80">
        <f t="shared" si="21"/>
        <v>93.3</v>
      </c>
      <c r="V14" s="119"/>
      <c r="W14" s="119"/>
      <c r="X14" s="37"/>
      <c r="Y14" s="37"/>
      <c r="Z14" s="120"/>
      <c r="AB14" s="73">
        <f t="shared" si="0"/>
        <v>341.31105735048146</v>
      </c>
      <c r="AC14" s="74">
        <f t="shared" si="1"/>
        <v>36.929133858267718</v>
      </c>
      <c r="AD14" s="74">
        <f t="shared" si="2"/>
        <v>341.31105735048146</v>
      </c>
      <c r="AE14" s="75">
        <f t="shared" si="3"/>
        <v>36.929133858267718</v>
      </c>
      <c r="AF14" s="33"/>
      <c r="AG14" s="35"/>
      <c r="AH14" s="35"/>
      <c r="AL14" s="119"/>
      <c r="AM14" s="119"/>
      <c r="AN14" s="37"/>
      <c r="AO14" s="37"/>
      <c r="AP14" s="120"/>
    </row>
    <row r="15" spans="1:42" x14ac:dyDescent="0.3">
      <c r="D15" s="63">
        <f t="shared" si="5"/>
        <v>4.8114783561619801</v>
      </c>
      <c r="E15" s="64">
        <f t="shared" si="13"/>
        <v>1.4555106764221617</v>
      </c>
      <c r="F15" s="44">
        <v>175</v>
      </c>
      <c r="G15" s="47">
        <f t="shared" si="14"/>
        <v>385.80885000000001</v>
      </c>
      <c r="H15" s="64">
        <f>IF(CONVERT('Terminal lines'!$D$14,"lbm","kg")&gt;E15,CONVERT('Terminal lines'!$D$14,"lbm","kg"),E15)</f>
        <v>1.4822891815225057</v>
      </c>
      <c r="I15" s="50">
        <f t="shared" si="15"/>
        <v>3.2678882617062222</v>
      </c>
      <c r="J15" s="117">
        <f t="shared" si="16"/>
        <v>1.018398013517956</v>
      </c>
      <c r="L15" s="73">
        <f t="shared" si="6"/>
        <v>154.8160914108108</v>
      </c>
      <c r="M15" s="152">
        <f t="shared" ref="M15" si="24">M14+0.5</f>
        <v>93.8</v>
      </c>
      <c r="N15" s="74">
        <f t="shared" si="7"/>
        <v>154.8160914108108</v>
      </c>
      <c r="O15" s="80">
        <f t="shared" si="21"/>
        <v>93.8</v>
      </c>
      <c r="V15" s="119"/>
      <c r="W15" s="119"/>
      <c r="X15" s="37"/>
      <c r="Y15" s="37"/>
      <c r="Z15" s="120"/>
      <c r="AB15" s="73">
        <f t="shared" si="0"/>
        <v>346.16796217129445</v>
      </c>
      <c r="AC15" s="74">
        <f t="shared" si="1"/>
        <v>37.125984251968504</v>
      </c>
      <c r="AD15" s="74">
        <f t="shared" si="2"/>
        <v>346.16796217129445</v>
      </c>
      <c r="AE15" s="75">
        <f t="shared" si="3"/>
        <v>37.125984251968504</v>
      </c>
      <c r="AF15" s="33"/>
      <c r="AG15" s="35"/>
      <c r="AH15" s="35"/>
      <c r="AL15" s="119"/>
      <c r="AM15" s="119"/>
      <c r="AN15" s="37"/>
      <c r="AO15" s="37"/>
      <c r="AP15" s="120"/>
    </row>
    <row r="16" spans="1:42" x14ac:dyDescent="0.3">
      <c r="D16" s="63">
        <f t="shared" si="5"/>
        <v>4.9142175528763206</v>
      </c>
      <c r="E16" s="64">
        <f t="shared" si="13"/>
        <v>1.4865901049544024</v>
      </c>
      <c r="F16" s="44">
        <v>180</v>
      </c>
      <c r="G16" s="47">
        <f t="shared" si="14"/>
        <v>396.83196000000004</v>
      </c>
      <c r="H16" s="64">
        <f>IF(CONVERT('Terminal lines'!$D$14,"lbm","kg")&gt;E16,CONVERT('Terminal lines'!$D$14,"lbm","kg"),E16)</f>
        <v>1.4865901049544024</v>
      </c>
      <c r="I16" s="50">
        <f t="shared" si="15"/>
        <v>3.2773701747990209</v>
      </c>
      <c r="J16" s="117">
        <f t="shared" si="16"/>
        <v>1</v>
      </c>
      <c r="L16" s="73">
        <f t="shared" si="6"/>
        <v>157.0191463793478</v>
      </c>
      <c r="M16" s="152">
        <v>94.3</v>
      </c>
      <c r="N16" s="74">
        <f t="shared" si="7"/>
        <v>157.0191463793478</v>
      </c>
      <c r="O16" s="80">
        <f t="shared" si="21"/>
        <v>94.3</v>
      </c>
      <c r="V16" s="119"/>
      <c r="W16" s="119"/>
      <c r="X16" s="37"/>
      <c r="Y16" s="37"/>
      <c r="Z16" s="120"/>
      <c r="AB16" s="73">
        <f t="shared" si="0"/>
        <v>351.07072610413081</v>
      </c>
      <c r="AC16" s="74">
        <f t="shared" si="1"/>
        <v>37.322834645669289</v>
      </c>
      <c r="AD16" s="74">
        <f t="shared" si="2"/>
        <v>351.07072610413081</v>
      </c>
      <c r="AE16" s="75">
        <f t="shared" si="3"/>
        <v>37.322834645669289</v>
      </c>
      <c r="AF16" s="33"/>
      <c r="AG16" s="35"/>
      <c r="AH16" s="35"/>
      <c r="AL16" s="119"/>
      <c r="AM16" s="119"/>
      <c r="AN16" s="37"/>
      <c r="AO16" s="37"/>
      <c r="AP16" s="120"/>
    </row>
    <row r="17" spans="4:42" x14ac:dyDescent="0.3">
      <c r="D17" s="63">
        <f t="shared" si="5"/>
        <v>5.0162456519951801</v>
      </c>
      <c r="E17" s="64">
        <f t="shared" si="13"/>
        <v>1.5174544207779108</v>
      </c>
      <c r="F17" s="44">
        <v>185</v>
      </c>
      <c r="G17" s="47">
        <f t="shared" si="14"/>
        <v>407.85507000000001</v>
      </c>
      <c r="H17" s="64">
        <f>IF(CONVERT('Terminal lines'!$D$14,"lbm","kg")&gt;E17,CONVERT('Terminal lines'!$D$14,"lbm","kg"),E17)</f>
        <v>1.5174544207779108</v>
      </c>
      <c r="I17" s="50">
        <f t="shared" si="15"/>
        <v>3.345414343671413</v>
      </c>
      <c r="J17" s="117">
        <f t="shared" si="16"/>
        <v>1</v>
      </c>
      <c r="L17" s="73">
        <f t="shared" si="6"/>
        <v>159.24300269119357</v>
      </c>
      <c r="M17" s="152">
        <f t="shared" ref="M17" si="25">M16+0.5</f>
        <v>94.8</v>
      </c>
      <c r="N17" s="74">
        <f t="shared" si="7"/>
        <v>159.24300269119357</v>
      </c>
      <c r="O17" s="80">
        <f t="shared" si="21"/>
        <v>94.8</v>
      </c>
      <c r="V17" s="119"/>
      <c r="W17" s="119"/>
      <c r="X17" s="37"/>
      <c r="Y17" s="37"/>
      <c r="Z17" s="120"/>
      <c r="AB17" s="73">
        <f t="shared" si="0"/>
        <v>356.01956463516024</v>
      </c>
      <c r="AC17" s="74">
        <f t="shared" si="1"/>
        <v>37.519685039370081</v>
      </c>
      <c r="AD17" s="74">
        <f t="shared" si="2"/>
        <v>356.01956463516024</v>
      </c>
      <c r="AE17" s="75">
        <f t="shared" si="3"/>
        <v>37.519685039370081</v>
      </c>
      <c r="AF17" s="33"/>
      <c r="AG17" s="35"/>
      <c r="AH17" s="35"/>
      <c r="AL17" s="119"/>
      <c r="AM17" s="119"/>
      <c r="AN17" s="37"/>
      <c r="AO17" s="37"/>
      <c r="AP17" s="120"/>
    </row>
    <row r="18" spans="4:42" x14ac:dyDescent="0.3">
      <c r="D18" s="63">
        <f t="shared" si="5"/>
        <v>5.1175866020001495</v>
      </c>
      <c r="E18" s="64">
        <f t="shared" si="13"/>
        <v>1.5481108684998659</v>
      </c>
      <c r="F18" s="44">
        <v>190</v>
      </c>
      <c r="G18" s="47">
        <f t="shared" si="14"/>
        <v>418.87818000000004</v>
      </c>
      <c r="H18" s="64">
        <f>IF(CONVERT('Terminal lines'!$D$14,"lbm","kg")&gt;E18,CONVERT('Terminal lines'!$D$14,"lbm","kg"),E18)</f>
        <v>1.5481108684998659</v>
      </c>
      <c r="I18" s="50">
        <f t="shared" si="15"/>
        <v>3.4130002418247596</v>
      </c>
      <c r="J18" s="117">
        <f t="shared" si="16"/>
        <v>1</v>
      </c>
      <c r="L18" s="73">
        <f t="shared" si="6"/>
        <v>161.48775808923051</v>
      </c>
      <c r="M18" s="152">
        <v>95.3</v>
      </c>
      <c r="N18" s="74">
        <f t="shared" si="7"/>
        <v>161.48775808923051</v>
      </c>
      <c r="O18" s="80">
        <f t="shared" si="21"/>
        <v>95.3</v>
      </c>
      <c r="X18" s="35"/>
      <c r="Y18" s="35"/>
      <c r="AB18" s="73">
        <f t="shared" si="0"/>
        <v>361.0146932505516</v>
      </c>
      <c r="AC18" s="74">
        <f t="shared" si="1"/>
        <v>37.716535433070867</v>
      </c>
      <c r="AD18" s="74">
        <f t="shared" si="2"/>
        <v>361.0146932505516</v>
      </c>
      <c r="AE18" s="75">
        <f t="shared" si="3"/>
        <v>37.716535433070867</v>
      </c>
      <c r="AF18" s="33"/>
      <c r="AG18" s="35"/>
      <c r="AH18" s="35"/>
      <c r="AN18" s="35"/>
      <c r="AO18" s="35"/>
    </row>
    <row r="19" spans="4:42" x14ac:dyDescent="0.3">
      <c r="D19" s="63">
        <f t="shared" si="5"/>
        <v>5.2182629375443934</v>
      </c>
      <c r="E19" s="64">
        <f t="shared" si="13"/>
        <v>1.5785662650330419</v>
      </c>
      <c r="F19" s="44">
        <v>195</v>
      </c>
      <c r="G19" s="47">
        <f t="shared" si="14"/>
        <v>429.90129000000002</v>
      </c>
      <c r="H19" s="64">
        <f>IF(CONVERT('Terminal lines'!$D$14,"lbm","kg")&gt;E19,CONVERT('Terminal lines'!$D$14,"lbm","kg"),E19)</f>
        <v>1.5785662650330419</v>
      </c>
      <c r="I19" s="50">
        <f t="shared" si="15"/>
        <v>3.480142897979174</v>
      </c>
      <c r="J19" s="117">
        <f t="shared" si="16"/>
        <v>1</v>
      </c>
      <c r="L19" s="73">
        <f t="shared" si="6"/>
        <v>163.75351031634071</v>
      </c>
      <c r="M19" s="152">
        <f t="shared" ref="M19" si="26">M18+0.5</f>
        <v>95.8</v>
      </c>
      <c r="N19" s="74">
        <f t="shared" si="7"/>
        <v>163.75351031634071</v>
      </c>
      <c r="O19" s="80">
        <f t="shared" si="21"/>
        <v>95.8</v>
      </c>
      <c r="AB19" s="73">
        <f t="shared" si="0"/>
        <v>366.05632743647476</v>
      </c>
      <c r="AC19" s="74">
        <f t="shared" si="1"/>
        <v>37.913385826771659</v>
      </c>
      <c r="AD19" s="74">
        <f t="shared" si="2"/>
        <v>366.05632743647476</v>
      </c>
      <c r="AE19" s="75">
        <f t="shared" si="3"/>
        <v>37.913385826771659</v>
      </c>
      <c r="AF19" s="33"/>
      <c r="AG19" s="35"/>
      <c r="AH19" s="35"/>
    </row>
    <row r="20" spans="4:42" x14ac:dyDescent="0.3">
      <c r="D20" s="63">
        <f t="shared" si="5"/>
        <v>5.3182958969449858</v>
      </c>
      <c r="E20" s="64">
        <f t="shared" si="13"/>
        <v>1.6088270351381802</v>
      </c>
      <c r="F20" s="44">
        <v>200</v>
      </c>
      <c r="G20" s="47">
        <f t="shared" si="14"/>
        <v>440.92439999999999</v>
      </c>
      <c r="H20" s="64">
        <f>IF(CONVERT('Terminal lines'!$D$14,"lbm","kg")&gt;E20,CONVERT('Terminal lines'!$D$14,"lbm","kg"),E20)</f>
        <v>1.6088270351381802</v>
      </c>
      <c r="I20" s="50">
        <f t="shared" si="15"/>
        <v>3.5468564763075268</v>
      </c>
      <c r="J20" s="117">
        <f t="shared" si="16"/>
        <v>1</v>
      </c>
      <c r="L20" s="73">
        <f t="shared" si="6"/>
        <v>166.04035711540661</v>
      </c>
      <c r="M20" s="152">
        <v>96.3</v>
      </c>
      <c r="N20" s="74">
        <f t="shared" si="7"/>
        <v>166.04035711540661</v>
      </c>
      <c r="O20" s="80">
        <f t="shared" si="21"/>
        <v>96.3</v>
      </c>
      <c r="AB20" s="73">
        <f t="shared" si="0"/>
        <v>371.14468267909854</v>
      </c>
      <c r="AC20" s="74">
        <f t="shared" si="1"/>
        <v>38.110236220472444</v>
      </c>
      <c r="AD20" s="74">
        <f t="shared" si="2"/>
        <v>371.14468267909854</v>
      </c>
      <c r="AE20" s="75">
        <f t="shared" si="3"/>
        <v>38.110236220472444</v>
      </c>
      <c r="AF20" s="33"/>
      <c r="AG20" s="35"/>
      <c r="AH20" s="35"/>
    </row>
    <row r="21" spans="4:42" x14ac:dyDescent="0.3">
      <c r="D21" s="63">
        <f t="shared" si="5"/>
        <v>5.4177055272242818</v>
      </c>
      <c r="E21" s="64">
        <f t="shared" si="13"/>
        <v>1.6388992431998439</v>
      </c>
      <c r="F21" s="44">
        <v>205</v>
      </c>
      <c r="G21" s="47">
        <f t="shared" si="14"/>
        <v>451.94751000000002</v>
      </c>
      <c r="H21" s="64">
        <f>IF(CONVERT('Terminal lines'!$D$14,"lbm","kg")&gt;E21,CONVERT('Terminal lines'!$D$14,"lbm","kg"),E21)</f>
        <v>1.6388992431998439</v>
      </c>
      <c r="I21" s="50">
        <f t="shared" si="15"/>
        <v>3.6131543464892144</v>
      </c>
      <c r="J21" s="117">
        <f t="shared" si="16"/>
        <v>1</v>
      </c>
      <c r="L21" s="73">
        <f t="shared" si="6"/>
        <v>168.34839622931028</v>
      </c>
      <c r="M21" s="152">
        <f t="shared" ref="M21" si="27">M20+0.5</f>
        <v>96.8</v>
      </c>
      <c r="N21" s="74">
        <f t="shared" si="7"/>
        <v>168.34839622931028</v>
      </c>
      <c r="O21" s="80">
        <f t="shared" si="21"/>
        <v>96.8</v>
      </c>
      <c r="AB21" s="73">
        <f t="shared" si="0"/>
        <v>376.27997446459278</v>
      </c>
      <c r="AC21" s="74">
        <f t="shared" si="1"/>
        <v>38.30708661417323</v>
      </c>
      <c r="AD21" s="74">
        <f t="shared" si="2"/>
        <v>376.27997446459278</v>
      </c>
      <c r="AE21" s="75">
        <f t="shared" si="3"/>
        <v>38.30708661417323</v>
      </c>
      <c r="AF21" s="33"/>
      <c r="AG21" s="35"/>
      <c r="AH21" s="35"/>
    </row>
    <row r="22" spans="4:42" x14ac:dyDescent="0.3">
      <c r="D22" s="63">
        <f t="shared" si="5"/>
        <v>5.5165107782907299</v>
      </c>
      <c r="E22" s="64">
        <f t="shared" si="13"/>
        <v>1.6687886217168666</v>
      </c>
      <c r="F22" s="44">
        <v>210</v>
      </c>
      <c r="G22" s="47">
        <f t="shared" si="14"/>
        <v>462.97062</v>
      </c>
      <c r="H22" s="64">
        <f>IF(CONVERT('Terminal lines'!$D$14,"lbm","kg")&gt;E22,CONVERT('Terminal lines'!$D$14,"lbm","kg"),E22)</f>
        <v>1.6687886217168666</v>
      </c>
      <c r="I22" s="50">
        <f t="shared" si="15"/>
        <v>3.6790491465208435</v>
      </c>
      <c r="J22" s="117">
        <f t="shared" si="16"/>
        <v>1</v>
      </c>
      <c r="L22" s="73">
        <f t="shared" si="6"/>
        <v>170.67772540093412</v>
      </c>
      <c r="M22" s="152">
        <v>97.3</v>
      </c>
      <c r="N22" s="74">
        <f t="shared" si="7"/>
        <v>170.67772540093412</v>
      </c>
      <c r="O22" s="80">
        <f t="shared" si="21"/>
        <v>97.3</v>
      </c>
      <c r="AB22" s="73">
        <f t="shared" si="0"/>
        <v>381.46241827912633</v>
      </c>
      <c r="AC22" s="74">
        <f t="shared" si="1"/>
        <v>38.503937007874015</v>
      </c>
      <c r="AD22" s="74">
        <f t="shared" si="2"/>
        <v>381.46241827912633</v>
      </c>
      <c r="AE22" s="75">
        <f t="shared" si="3"/>
        <v>38.503937007874015</v>
      </c>
      <c r="AF22" s="33"/>
      <c r="AG22" s="35"/>
      <c r="AH22" s="35"/>
    </row>
    <row r="23" spans="4:42" x14ac:dyDescent="0.3">
      <c r="D23" s="63">
        <f t="shared" si="5"/>
        <v>5.6147295876135157</v>
      </c>
      <c r="E23" s="64">
        <f t="shared" si="13"/>
        <v>1.698500596917109</v>
      </c>
      <c r="F23" s="44">
        <v>215</v>
      </c>
      <c r="G23" s="47">
        <f t="shared" si="14"/>
        <v>473.99373000000003</v>
      </c>
      <c r="H23" s="64">
        <f>IF(CONVERT('Terminal lines'!$D$14,"lbm","kg")&gt;E23,CONVERT('Terminal lines'!$D$14,"lbm","kg"),E23)</f>
        <v>1.698500596917109</v>
      </c>
      <c r="I23" s="50">
        <f t="shared" si="15"/>
        <v>3.7445528391871075</v>
      </c>
      <c r="J23" s="117">
        <f t="shared" si="16"/>
        <v>1</v>
      </c>
      <c r="L23" s="73">
        <f t="shared" si="6"/>
        <v>173.02844237316023</v>
      </c>
      <c r="M23" s="152">
        <f t="shared" ref="M23" si="28">M22+0.5</f>
        <v>97.8</v>
      </c>
      <c r="N23" s="74">
        <f t="shared" si="7"/>
        <v>173.02844237316023</v>
      </c>
      <c r="O23" s="80">
        <f t="shared" si="21"/>
        <v>97.8</v>
      </c>
      <c r="AB23" s="73">
        <f t="shared" si="0"/>
        <v>386.6922296088689</v>
      </c>
      <c r="AC23" s="74">
        <f t="shared" si="1"/>
        <v>38.700787401574807</v>
      </c>
      <c r="AD23" s="74">
        <f t="shared" si="2"/>
        <v>386.6922296088689</v>
      </c>
      <c r="AE23" s="75">
        <f t="shared" si="3"/>
        <v>38.700787401574807</v>
      </c>
      <c r="AF23" s="33"/>
      <c r="AG23" s="35"/>
      <c r="AH23" s="35"/>
    </row>
    <row r="24" spans="4:42" x14ac:dyDescent="0.3">
      <c r="D24" s="63">
        <f t="shared" si="5"/>
        <v>5.7123789565487444</v>
      </c>
      <c r="E24" s="64">
        <f t="shared" si="13"/>
        <v>1.7280403118467393</v>
      </c>
      <c r="F24" s="44">
        <v>220</v>
      </c>
      <c r="G24" s="47">
        <f t="shared" si="14"/>
        <v>485.01684</v>
      </c>
      <c r="H24" s="64">
        <f>IF(CONVERT('Terminal lines'!$D$14,"lbm","kg")&gt;E24,CONVERT('Terminal lines'!$D$14,"lbm","kg"),E24)</f>
        <v>1.7280403118467393</v>
      </c>
      <c r="I24" s="50">
        <f t="shared" si="15"/>
        <v>3.8096767629639343</v>
      </c>
      <c r="J24" s="117">
        <f t="shared" si="16"/>
        <v>1</v>
      </c>
      <c r="L24" s="73">
        <f t="shared" si="6"/>
        <v>175.40064488887103</v>
      </c>
      <c r="M24" s="152">
        <v>98.3</v>
      </c>
      <c r="N24" s="74">
        <f t="shared" si="7"/>
        <v>175.40064488887103</v>
      </c>
      <c r="O24" s="80">
        <f t="shared" si="21"/>
        <v>98.3</v>
      </c>
      <c r="AB24" s="73">
        <f t="shared" si="0"/>
        <v>391.9696239399895</v>
      </c>
      <c r="AC24" s="74">
        <f t="shared" si="1"/>
        <v>38.897637795275593</v>
      </c>
      <c r="AD24" s="74">
        <f t="shared" si="2"/>
        <v>391.9696239399895</v>
      </c>
      <c r="AE24" s="75">
        <f t="shared" si="3"/>
        <v>38.897637795275593</v>
      </c>
      <c r="AF24" s="33"/>
      <c r="AG24" s="35"/>
      <c r="AH24" s="35"/>
    </row>
    <row r="25" spans="4:42" x14ac:dyDescent="0.3">
      <c r="D25" s="63">
        <f t="shared" si="5"/>
        <v>5.8094750193111242</v>
      </c>
      <c r="E25" s="64">
        <f t="shared" si="13"/>
        <v>1.7574126472347202</v>
      </c>
      <c r="F25" s="44">
        <v>225</v>
      </c>
      <c r="G25" s="47">
        <f t="shared" si="14"/>
        <v>496.03995000000003</v>
      </c>
      <c r="H25" s="64">
        <f>IF(CONVERT('Terminal lines'!$D$14,"lbm","kg")&gt;E25,CONVERT('Terminal lines'!$D$14,"lbm","kg"),E25)</f>
        <v>1.7574126472347202</v>
      </c>
      <c r="I25" s="50">
        <f t="shared" si="15"/>
        <v>3.8744316780168067</v>
      </c>
      <c r="J25" s="117">
        <f t="shared" si="16"/>
        <v>1</v>
      </c>
      <c r="L25" s="73">
        <f t="shared" si="6"/>
        <v>177.79443069094859</v>
      </c>
      <c r="M25" s="152">
        <f t="shared" ref="M25" si="29">M24+0.5</f>
        <v>98.8</v>
      </c>
      <c r="N25" s="74">
        <f t="shared" si="7"/>
        <v>177.79443069094859</v>
      </c>
      <c r="O25" s="80">
        <f t="shared" si="21"/>
        <v>98.8</v>
      </c>
      <c r="AB25" s="73">
        <f t="shared" si="0"/>
        <v>397.29481675865782</v>
      </c>
      <c r="AC25" s="74">
        <f t="shared" si="1"/>
        <v>39.094488188976378</v>
      </c>
      <c r="AD25" s="74">
        <f t="shared" si="2"/>
        <v>397.29481675865782</v>
      </c>
      <c r="AE25" s="75">
        <f t="shared" si="3"/>
        <v>39.094488188976378</v>
      </c>
      <c r="AF25" s="33"/>
      <c r="AG25" s="35"/>
      <c r="AH25" s="35"/>
    </row>
    <row r="26" spans="4:42" x14ac:dyDescent="0.3">
      <c r="D26" s="63">
        <f t="shared" si="5"/>
        <v>5.9060331054471007</v>
      </c>
      <c r="E26" s="64">
        <f t="shared" si="13"/>
        <v>1.7866222403914296</v>
      </c>
      <c r="F26" s="44">
        <v>230</v>
      </c>
      <c r="G26" s="47">
        <f t="shared" si="14"/>
        <v>507.06306000000001</v>
      </c>
      <c r="H26" s="64">
        <f>IF(CONVERT('Terminal lines'!$D$14,"lbm","kg")&gt;E26,CONVERT('Terminal lines'!$D$14,"lbm","kg"),E26)</f>
        <v>1.7866222403914296</v>
      </c>
      <c r="I26" s="50">
        <f t="shared" si="15"/>
        <v>3.9388278078650871</v>
      </c>
      <c r="J26" s="117">
        <f t="shared" si="16"/>
        <v>1</v>
      </c>
      <c r="L26" s="73">
        <f t="shared" si="6"/>
        <v>180.20989752227533</v>
      </c>
      <c r="M26" s="152">
        <v>99.3</v>
      </c>
      <c r="N26" s="74">
        <f t="shared" si="7"/>
        <v>180.20989752227533</v>
      </c>
      <c r="O26" s="80">
        <f t="shared" si="21"/>
        <v>99.3</v>
      </c>
      <c r="AB26" s="73">
        <f t="shared" si="0"/>
        <v>402.66802355104295</v>
      </c>
      <c r="AC26" s="74">
        <f t="shared" si="1"/>
        <v>39.29133858267717</v>
      </c>
      <c r="AD26" s="74">
        <f t="shared" si="2"/>
        <v>402.66802355104295</v>
      </c>
      <c r="AE26" s="75">
        <f t="shared" si="3"/>
        <v>39.29133858267717</v>
      </c>
      <c r="AF26" s="33"/>
      <c r="AG26" s="35"/>
      <c r="AH26" s="35"/>
    </row>
    <row r="27" spans="4:42" x14ac:dyDescent="0.3">
      <c r="D27" s="63">
        <f t="shared" si="5"/>
        <v>6.0020677965494817</v>
      </c>
      <c r="E27" s="64">
        <f t="shared" si="13"/>
        <v>1.8156735023652899</v>
      </c>
      <c r="F27" s="44">
        <v>235</v>
      </c>
      <c r="G27" s="47">
        <f t="shared" si="14"/>
        <v>518.08617000000004</v>
      </c>
      <c r="H27" s="64">
        <f>IF(CONVERT('Terminal lines'!$D$14,"lbm","kg")&gt;E27,CONVERT('Terminal lines'!$D$14,"lbm","kg"),E27)</f>
        <v>1.8156735023652899</v>
      </c>
      <c r="I27" s="50">
        <f t="shared" si="15"/>
        <v>4.0028748772059144</v>
      </c>
      <c r="J27" s="117">
        <f t="shared" si="16"/>
        <v>1</v>
      </c>
      <c r="L27" s="73">
        <f t="shared" si="6"/>
        <v>182.64714312573341</v>
      </c>
      <c r="M27" s="152">
        <f t="shared" ref="M27" si="30">M26+0.5</f>
        <v>99.8</v>
      </c>
      <c r="N27" s="74">
        <f t="shared" si="7"/>
        <v>182.64714312573341</v>
      </c>
      <c r="O27" s="80">
        <f t="shared" si="21"/>
        <v>99.8</v>
      </c>
      <c r="AB27" s="73">
        <f t="shared" si="0"/>
        <v>408.08945980331418</v>
      </c>
      <c r="AC27" s="74">
        <f t="shared" si="1"/>
        <v>39.488188976377948</v>
      </c>
      <c r="AD27" s="74">
        <f t="shared" si="2"/>
        <v>408.08945980331418</v>
      </c>
      <c r="AE27" s="75">
        <f t="shared" si="3"/>
        <v>39.488188976377948</v>
      </c>
      <c r="AF27" s="33"/>
      <c r="AG27" s="35"/>
      <c r="AH27" s="35"/>
    </row>
    <row r="28" spans="4:42" x14ac:dyDescent="0.3">
      <c r="D28" s="63">
        <f t="shared" si="5"/>
        <v>6.097592977855375</v>
      </c>
      <c r="E28" s="64">
        <f t="shared" si="13"/>
        <v>1.8445706335515555</v>
      </c>
      <c r="F28" s="44">
        <v>240</v>
      </c>
      <c r="G28" s="47">
        <f t="shared" si="14"/>
        <v>529.10928000000001</v>
      </c>
      <c r="H28" s="64">
        <f>IF(CONVERT('Terminal lines'!$D$14,"lbm","kg")&gt;E28,CONVERT('Terminal lines'!$D$14,"lbm","kg"),E28)</f>
        <v>1.8445706335515555</v>
      </c>
      <c r="I28" s="50">
        <f t="shared" si="15"/>
        <v>4.0665821463256879</v>
      </c>
      <c r="J28" s="117">
        <f t="shared" si="16"/>
        <v>1</v>
      </c>
      <c r="L28" s="73">
        <f t="shared" si="6"/>
        <v>185.10626524420502</v>
      </c>
      <c r="M28" s="152">
        <v>100.3</v>
      </c>
      <c r="N28" s="74">
        <f t="shared" si="7"/>
        <v>185.10626524420502</v>
      </c>
      <c r="O28" s="80">
        <f t="shared" si="21"/>
        <v>100.3</v>
      </c>
      <c r="AB28" s="73">
        <f t="shared" si="0"/>
        <v>413.5593410016412</v>
      </c>
      <c r="AC28" s="74">
        <f t="shared" si="1"/>
        <v>39.685039370078741</v>
      </c>
      <c r="AD28" s="74">
        <f t="shared" si="2"/>
        <v>413.5593410016412</v>
      </c>
      <c r="AE28" s="75">
        <f t="shared" si="3"/>
        <v>39.685039370078741</v>
      </c>
      <c r="AF28" s="33"/>
      <c r="AG28" s="35"/>
      <c r="AH28" s="35"/>
    </row>
    <row r="29" spans="4:42" x14ac:dyDescent="0.3">
      <c r="D29" s="63">
        <f t="shared" si="5"/>
        <v>6.1926218852858632</v>
      </c>
      <c r="E29" s="64">
        <f t="shared" si="13"/>
        <v>1.8733176379221914</v>
      </c>
      <c r="F29" s="44">
        <v>245</v>
      </c>
      <c r="G29" s="47">
        <f t="shared" si="14"/>
        <v>540.13238999999999</v>
      </c>
      <c r="H29" s="64">
        <f>IF(CONVERT('Terminal lines'!$D$14,"lbm","kg")&gt;E29,CONVERT('Terminal lines'!$D$14,"lbm","kg"),E29)</f>
        <v>1.8733176379221914</v>
      </c>
      <c r="I29" s="50">
        <f t="shared" si="15"/>
        <v>4.129958442471577</v>
      </c>
      <c r="J29" s="117">
        <f t="shared" si="16"/>
        <v>1</v>
      </c>
      <c r="L29" s="73">
        <f t="shared" si="6"/>
        <v>187.58736162057261</v>
      </c>
      <c r="M29" s="152">
        <f t="shared" ref="M29" si="31">M28+0.5</f>
        <v>100.8</v>
      </c>
      <c r="N29" s="74">
        <f t="shared" si="7"/>
        <v>187.58736162057261</v>
      </c>
      <c r="O29" s="80">
        <f t="shared" si="21"/>
        <v>100.8</v>
      </c>
      <c r="AB29" s="73">
        <f t="shared" si="0"/>
        <v>419.07788263219271</v>
      </c>
      <c r="AC29" s="74">
        <f t="shared" si="1"/>
        <v>39.881889763779526</v>
      </c>
      <c r="AD29" s="74">
        <f t="shared" si="2"/>
        <v>419.07788263219271</v>
      </c>
      <c r="AE29" s="75">
        <f t="shared" si="3"/>
        <v>39.881889763779526</v>
      </c>
      <c r="AF29" s="33"/>
      <c r="AG29" s="35"/>
      <c r="AH29" s="35"/>
    </row>
    <row r="30" spans="4:42" ht="15" thickBot="1" x14ac:dyDescent="0.35">
      <c r="D30" s="65">
        <f t="shared" si="5"/>
        <v>6.2871671484146754</v>
      </c>
      <c r="E30" s="66">
        <f t="shared" si="13"/>
        <v>1.9019183360242398</v>
      </c>
      <c r="F30" s="56">
        <v>250</v>
      </c>
      <c r="G30" s="53">
        <f t="shared" si="14"/>
        <v>551.15550000000007</v>
      </c>
      <c r="H30" s="66">
        <f>IF(CONVERT('Terminal lines'!$D$14,"lbm","kg")&gt;E30,CONVERT('Terminal lines'!$D$14,"lbm","kg"),E30)</f>
        <v>1.9019183360242398</v>
      </c>
      <c r="I30" s="52">
        <f t="shared" si="15"/>
        <v>4.1930121885080203</v>
      </c>
      <c r="J30" s="118">
        <f t="shared" si="16"/>
        <v>1</v>
      </c>
      <c r="L30" s="73">
        <f t="shared" si="6"/>
        <v>190.09052999771814</v>
      </c>
      <c r="M30" s="152">
        <v>101.3</v>
      </c>
      <c r="N30" s="74">
        <f t="shared" si="7"/>
        <v>190.09052999771814</v>
      </c>
      <c r="O30" s="80">
        <f t="shared" si="21"/>
        <v>101.3</v>
      </c>
      <c r="AB30" s="73">
        <f t="shared" si="0"/>
        <v>424.64530018113868</v>
      </c>
      <c r="AC30" s="74">
        <f t="shared" si="1"/>
        <v>40.078740157480318</v>
      </c>
      <c r="AD30" s="74">
        <f t="shared" si="2"/>
        <v>424.64530018113868</v>
      </c>
      <c r="AE30" s="75">
        <f t="shared" si="3"/>
        <v>40.078740157480318</v>
      </c>
      <c r="AF30" s="33"/>
      <c r="AG30" s="35"/>
      <c r="AH30" s="35"/>
    </row>
    <row r="31" spans="4:42" x14ac:dyDescent="0.3">
      <c r="L31" s="73">
        <f t="shared" si="6"/>
        <v>192.61586811852413</v>
      </c>
      <c r="M31" s="152">
        <f t="shared" ref="M31" si="32">M30+0.5</f>
        <v>101.8</v>
      </c>
      <c r="N31" s="74">
        <f t="shared" si="7"/>
        <v>192.61586811852413</v>
      </c>
      <c r="O31" s="80">
        <f t="shared" si="21"/>
        <v>101.8</v>
      </c>
      <c r="AB31" s="73">
        <f t="shared" si="0"/>
        <v>430.26180913464799</v>
      </c>
      <c r="AC31" s="74">
        <f t="shared" si="1"/>
        <v>40.275590551181104</v>
      </c>
      <c r="AD31" s="74">
        <f t="shared" si="2"/>
        <v>430.26180913464799</v>
      </c>
      <c r="AE31" s="75">
        <f t="shared" si="3"/>
        <v>40.275590551181104</v>
      </c>
      <c r="AF31" s="33"/>
    </row>
    <row r="32" spans="4:42" x14ac:dyDescent="0.3">
      <c r="L32" s="73">
        <f t="shared" si="6"/>
        <v>195.16347372587265</v>
      </c>
      <c r="M32" s="152">
        <v>102.3</v>
      </c>
      <c r="N32" s="74">
        <f t="shared" si="7"/>
        <v>195.16347372587265</v>
      </c>
      <c r="O32" s="80">
        <f t="shared" si="21"/>
        <v>102.3</v>
      </c>
      <c r="AB32" s="73">
        <f t="shared" si="0"/>
        <v>435.92762497889038</v>
      </c>
      <c r="AC32" s="74">
        <f t="shared" si="1"/>
        <v>40.472440944881889</v>
      </c>
      <c r="AD32" s="74">
        <f t="shared" si="2"/>
        <v>435.92762497889038</v>
      </c>
      <c r="AE32" s="75">
        <f t="shared" si="3"/>
        <v>40.472440944881889</v>
      </c>
      <c r="AF32" s="33"/>
    </row>
    <row r="33" spans="12:32" x14ac:dyDescent="0.3">
      <c r="L33" s="73">
        <f t="shared" si="6"/>
        <v>197.7334445626461</v>
      </c>
      <c r="M33" s="152">
        <f t="shared" ref="M33" si="33">M32+0.5</f>
        <v>102.8</v>
      </c>
      <c r="N33" s="74">
        <f t="shared" si="7"/>
        <v>197.7334445626461</v>
      </c>
      <c r="O33" s="80">
        <f t="shared" si="21"/>
        <v>102.8</v>
      </c>
      <c r="AB33" s="73">
        <f t="shared" si="0"/>
        <v>441.64296320003484</v>
      </c>
      <c r="AC33" s="74">
        <f t="shared" si="1"/>
        <v>40.669291338582674</v>
      </c>
      <c r="AD33" s="74">
        <f t="shared" si="2"/>
        <v>441.64296320003484</v>
      </c>
      <c r="AE33" s="75">
        <f t="shared" si="3"/>
        <v>40.669291338582674</v>
      </c>
      <c r="AF33" s="33"/>
    </row>
    <row r="34" spans="12:32" x14ac:dyDescent="0.3">
      <c r="L34" s="73">
        <f t="shared" si="6"/>
        <v>200.32587837172659</v>
      </c>
      <c r="M34" s="152">
        <v>103.3</v>
      </c>
      <c r="N34" s="74">
        <f t="shared" si="7"/>
        <v>200.32587837172659</v>
      </c>
      <c r="O34" s="80">
        <f t="shared" si="21"/>
        <v>103.3</v>
      </c>
      <c r="AB34" s="73">
        <f t="shared" si="0"/>
        <v>447.40803928425089</v>
      </c>
      <c r="AC34" s="74">
        <f t="shared" si="1"/>
        <v>40.866141732283467</v>
      </c>
      <c r="AD34" s="74">
        <f t="shared" si="2"/>
        <v>447.40803928425089</v>
      </c>
      <c r="AE34" s="75">
        <f t="shared" si="3"/>
        <v>40.866141732283467</v>
      </c>
      <c r="AF34" s="33"/>
    </row>
    <row r="35" spans="12:32" x14ac:dyDescent="0.3">
      <c r="L35" s="73">
        <f t="shared" si="6"/>
        <v>202.94087289599648</v>
      </c>
      <c r="M35" s="152">
        <f t="shared" ref="M35" si="34">M34+0.5</f>
        <v>103.8</v>
      </c>
      <c r="N35" s="74">
        <f t="shared" si="7"/>
        <v>202.94087289599648</v>
      </c>
      <c r="O35" s="80">
        <f t="shared" si="21"/>
        <v>103.8</v>
      </c>
      <c r="AB35" s="73">
        <f t="shared" si="0"/>
        <v>453.22306871770763</v>
      </c>
      <c r="AC35" s="74">
        <f t="shared" si="1"/>
        <v>41.062992125984259</v>
      </c>
      <c r="AD35" s="74">
        <f t="shared" si="2"/>
        <v>453.22306871770763</v>
      </c>
      <c r="AE35" s="75">
        <f t="shared" si="3"/>
        <v>41.062992125984259</v>
      </c>
    </row>
    <row r="36" spans="12:32" x14ac:dyDescent="0.3">
      <c r="L36" s="73">
        <f t="shared" si="6"/>
        <v>205.57852587833787</v>
      </c>
      <c r="M36" s="152">
        <v>104.3</v>
      </c>
      <c r="N36" s="74">
        <f t="shared" si="7"/>
        <v>205.57852587833787</v>
      </c>
      <c r="O36" s="80">
        <f t="shared" si="21"/>
        <v>104.3</v>
      </c>
      <c r="AB36" s="73">
        <f t="shared" si="0"/>
        <v>459.08826698657487</v>
      </c>
      <c r="AC36" s="74">
        <f t="shared" si="1"/>
        <v>41.259842519685037</v>
      </c>
      <c r="AD36" s="74">
        <f t="shared" si="2"/>
        <v>459.08826698657487</v>
      </c>
      <c r="AE36" s="75">
        <f t="shared" si="3"/>
        <v>41.259842519685037</v>
      </c>
    </row>
    <row r="37" spans="12:32" x14ac:dyDescent="0.3">
      <c r="L37" s="73">
        <f t="shared" si="6"/>
        <v>208.23893506163324</v>
      </c>
      <c r="M37" s="152">
        <f t="shared" ref="M37" si="35">M36+0.5</f>
        <v>104.8</v>
      </c>
      <c r="N37" s="74">
        <f t="shared" si="7"/>
        <v>208.23893506163324</v>
      </c>
      <c r="O37" s="80">
        <f t="shared" si="21"/>
        <v>104.8</v>
      </c>
      <c r="AB37" s="73">
        <f t="shared" ref="AB37:AB57" si="36">CONVERT(L38,"kg","lbm")</f>
        <v>465.0038495770213</v>
      </c>
      <c r="AC37" s="74">
        <f t="shared" ref="AC37:AC57" si="37">CONVERT(M38,"cm","in")</f>
        <v>41.456692913385822</v>
      </c>
      <c r="AD37" s="74">
        <f t="shared" ref="AD37:AD57" si="38">CONVERT(N38,"kg","lbm")</f>
        <v>465.0038495770213</v>
      </c>
      <c r="AE37" s="75">
        <f t="shared" ref="AE37:AE57" si="39">CONVERT(O38,"cm","in")</f>
        <v>41.456692913385822</v>
      </c>
    </row>
    <row r="38" spans="12:32" x14ac:dyDescent="0.3">
      <c r="L38" s="73">
        <f t="shared" si="6"/>
        <v>210.92219818876458</v>
      </c>
      <c r="M38" s="152">
        <v>105.3</v>
      </c>
      <c r="N38" s="74">
        <f t="shared" si="7"/>
        <v>210.92219818876458</v>
      </c>
      <c r="O38" s="80">
        <f t="shared" si="21"/>
        <v>105.3</v>
      </c>
      <c r="AB38" s="73">
        <f t="shared" si="36"/>
        <v>470.97003197521673</v>
      </c>
      <c r="AC38" s="74">
        <f t="shared" si="37"/>
        <v>41.653543307086615</v>
      </c>
      <c r="AD38" s="74">
        <f t="shared" si="38"/>
        <v>470.97003197521673</v>
      </c>
      <c r="AE38" s="75">
        <f t="shared" si="39"/>
        <v>41.653543307086615</v>
      </c>
    </row>
    <row r="39" spans="12:32" x14ac:dyDescent="0.3">
      <c r="L39" s="73">
        <f t="shared" si="6"/>
        <v>213.62841300261437</v>
      </c>
      <c r="M39" s="152">
        <f t="shared" ref="M39" si="40">M38+0.5</f>
        <v>105.8</v>
      </c>
      <c r="N39" s="74">
        <f t="shared" si="7"/>
        <v>213.62841300261437</v>
      </c>
      <c r="O39" s="80">
        <f t="shared" si="21"/>
        <v>105.8</v>
      </c>
      <c r="AB39" s="73">
        <f t="shared" si="36"/>
        <v>476.98702966733038</v>
      </c>
      <c r="AC39" s="74">
        <f t="shared" si="37"/>
        <v>41.8503937007874</v>
      </c>
      <c r="AD39" s="74">
        <f t="shared" si="38"/>
        <v>476.98702966733038</v>
      </c>
      <c r="AE39" s="75">
        <f t="shared" si="39"/>
        <v>41.8503937007874</v>
      </c>
    </row>
    <row r="40" spans="12:32" x14ac:dyDescent="0.3">
      <c r="L40" s="73">
        <f t="shared" si="6"/>
        <v>216.3576772460647</v>
      </c>
      <c r="M40" s="152">
        <v>106.3</v>
      </c>
      <c r="N40" s="74">
        <f t="shared" si="7"/>
        <v>216.3576772460647</v>
      </c>
      <c r="O40" s="80">
        <f t="shared" si="21"/>
        <v>106.3</v>
      </c>
      <c r="AB40" s="73">
        <f t="shared" si="36"/>
        <v>483.05505813953158</v>
      </c>
      <c r="AC40" s="74">
        <f t="shared" si="37"/>
        <v>42.047244094488185</v>
      </c>
      <c r="AD40" s="74">
        <f t="shared" si="38"/>
        <v>483.05505813953158</v>
      </c>
      <c r="AE40" s="75">
        <f t="shared" si="39"/>
        <v>42.047244094488185</v>
      </c>
    </row>
    <row r="41" spans="12:32" x14ac:dyDescent="0.3">
      <c r="L41" s="73">
        <f t="shared" si="6"/>
        <v>219.11008866199793</v>
      </c>
      <c r="M41" s="152">
        <f t="shared" ref="M41" si="41">M40+0.5</f>
        <v>106.8</v>
      </c>
      <c r="N41" s="74">
        <f t="shared" si="7"/>
        <v>219.11008866199793</v>
      </c>
      <c r="O41" s="80">
        <f t="shared" si="21"/>
        <v>106.8</v>
      </c>
      <c r="AB41" s="73">
        <f t="shared" si="36"/>
        <v>489.17433287798951</v>
      </c>
      <c r="AC41" s="74">
        <f t="shared" si="37"/>
        <v>42.244094488188978</v>
      </c>
      <c r="AD41" s="74">
        <f t="shared" si="38"/>
        <v>489.17433287798951</v>
      </c>
      <c r="AE41" s="75">
        <f t="shared" si="39"/>
        <v>42.244094488188978</v>
      </c>
    </row>
    <row r="42" spans="12:32" x14ac:dyDescent="0.3">
      <c r="L42" s="73">
        <f t="shared" si="6"/>
        <v>221.88574499329619</v>
      </c>
      <c r="M42" s="152">
        <v>107.3</v>
      </c>
      <c r="N42" s="74">
        <f t="shared" si="7"/>
        <v>221.88574499329619</v>
      </c>
      <c r="O42" s="80">
        <f t="shared" si="21"/>
        <v>107.3</v>
      </c>
      <c r="AB42" s="73">
        <f t="shared" si="36"/>
        <v>495.34506936887385</v>
      </c>
      <c r="AC42" s="74">
        <f t="shared" si="37"/>
        <v>42.440944881889763</v>
      </c>
      <c r="AD42" s="74">
        <f t="shared" si="38"/>
        <v>495.34506936887385</v>
      </c>
      <c r="AE42" s="75">
        <f t="shared" si="39"/>
        <v>42.440944881889763</v>
      </c>
    </row>
    <row r="43" spans="12:32" x14ac:dyDescent="0.3">
      <c r="L43" s="73">
        <f t="shared" si="6"/>
        <v>224.68474398284189</v>
      </c>
      <c r="M43" s="152">
        <f t="shared" ref="M43" si="42">M42+0.5</f>
        <v>107.8</v>
      </c>
      <c r="N43" s="74">
        <f t="shared" si="7"/>
        <v>224.68474398284189</v>
      </c>
      <c r="O43" s="80">
        <f t="shared" si="21"/>
        <v>107.8</v>
      </c>
      <c r="AB43" s="73">
        <f t="shared" si="36"/>
        <v>501.56748309835353</v>
      </c>
      <c r="AC43" s="74">
        <f t="shared" si="37"/>
        <v>42.637795275590555</v>
      </c>
      <c r="AD43" s="74">
        <f t="shared" si="38"/>
        <v>501.56748309835353</v>
      </c>
      <c r="AE43" s="75">
        <f t="shared" si="39"/>
        <v>42.637795275590555</v>
      </c>
    </row>
    <row r="44" spans="12:32" x14ac:dyDescent="0.3">
      <c r="L44" s="73">
        <f t="shared" si="6"/>
        <v>227.50718337351711</v>
      </c>
      <c r="M44" s="152">
        <v>108.3</v>
      </c>
      <c r="N44" s="74">
        <f t="shared" si="7"/>
        <v>227.50718337351711</v>
      </c>
      <c r="O44" s="80">
        <f t="shared" si="21"/>
        <v>108.3</v>
      </c>
      <c r="AB44" s="73">
        <f t="shared" si="36"/>
        <v>507.84178955259819</v>
      </c>
      <c r="AC44" s="74">
        <f t="shared" si="37"/>
        <v>42.834645669291341</v>
      </c>
      <c r="AD44" s="74">
        <f t="shared" si="38"/>
        <v>507.84178955259819</v>
      </c>
      <c r="AE44" s="75">
        <f t="shared" si="39"/>
        <v>42.834645669291341</v>
      </c>
    </row>
    <row r="45" spans="12:32" x14ac:dyDescent="0.3">
      <c r="L45" s="73">
        <f t="shared" si="6"/>
        <v>230.35316090820425</v>
      </c>
      <c r="M45" s="152">
        <f t="shared" ref="M45" si="43">M44+0.5</f>
        <v>108.8</v>
      </c>
      <c r="N45" s="74">
        <f t="shared" si="7"/>
        <v>230.35316090820425</v>
      </c>
      <c r="O45" s="80">
        <f t="shared" si="21"/>
        <v>108.8</v>
      </c>
      <c r="AB45" s="73">
        <f t="shared" si="36"/>
        <v>514.16820421777686</v>
      </c>
      <c r="AC45" s="74">
        <f t="shared" si="37"/>
        <v>43.031496062992126</v>
      </c>
      <c r="AD45" s="74">
        <f t="shared" si="38"/>
        <v>514.16820421777686</v>
      </c>
      <c r="AE45" s="75">
        <f t="shared" si="39"/>
        <v>43.031496062992126</v>
      </c>
    </row>
    <row r="46" spans="12:32" x14ac:dyDescent="0.3">
      <c r="L46" s="73">
        <f t="shared" si="6"/>
        <v>233.22277432978541</v>
      </c>
      <c r="M46" s="152">
        <v>109.3</v>
      </c>
      <c r="N46" s="74">
        <f t="shared" si="7"/>
        <v>233.22277432978541</v>
      </c>
      <c r="O46" s="80">
        <f t="shared" si="21"/>
        <v>109.3</v>
      </c>
      <c r="AB46" s="73">
        <f t="shared" si="36"/>
        <v>520.54694258005918</v>
      </c>
      <c r="AC46" s="74">
        <f t="shared" si="37"/>
        <v>43.228346456692918</v>
      </c>
      <c r="AD46" s="74">
        <f t="shared" si="38"/>
        <v>520.54694258005918</v>
      </c>
      <c r="AE46" s="75">
        <f t="shared" si="39"/>
        <v>43.228346456692918</v>
      </c>
    </row>
    <row r="47" spans="12:32" x14ac:dyDescent="0.3">
      <c r="L47" s="73">
        <f t="shared" si="6"/>
        <v>236.11612138114299</v>
      </c>
      <c r="M47" s="152">
        <f t="shared" ref="M47" si="44">M46+0.5</f>
        <v>109.8</v>
      </c>
      <c r="N47" s="74">
        <f t="shared" si="7"/>
        <v>236.11612138114299</v>
      </c>
      <c r="O47" s="80">
        <f t="shared" si="21"/>
        <v>109.8</v>
      </c>
      <c r="AB47" s="73">
        <f t="shared" si="36"/>
        <v>526.97822012561437</v>
      </c>
      <c r="AC47" s="74">
        <f t="shared" si="37"/>
        <v>43.425196850393704</v>
      </c>
      <c r="AD47" s="74">
        <f t="shared" si="38"/>
        <v>526.97822012561437</v>
      </c>
      <c r="AE47" s="75">
        <f t="shared" si="39"/>
        <v>43.425196850393704</v>
      </c>
    </row>
    <row r="48" spans="12:32" x14ac:dyDescent="0.3">
      <c r="L48" s="73">
        <f t="shared" si="6"/>
        <v>239.03329980515912</v>
      </c>
      <c r="M48" s="152">
        <v>110.3</v>
      </c>
      <c r="N48" s="74">
        <f t="shared" si="7"/>
        <v>239.03329980515912</v>
      </c>
      <c r="O48" s="80">
        <f t="shared" si="21"/>
        <v>110.3</v>
      </c>
      <c r="AB48" s="73">
        <f t="shared" si="36"/>
        <v>533.46225234061171</v>
      </c>
      <c r="AC48" s="74">
        <f t="shared" si="37"/>
        <v>43.622047244094496</v>
      </c>
      <c r="AD48" s="74">
        <f t="shared" si="38"/>
        <v>533.46225234061171</v>
      </c>
      <c r="AE48" s="75">
        <f t="shared" si="39"/>
        <v>43.622047244094496</v>
      </c>
    </row>
    <row r="49" spans="12:31" x14ac:dyDescent="0.3">
      <c r="L49" s="73">
        <f t="shared" si="6"/>
        <v>241.97440734471613</v>
      </c>
      <c r="M49" s="152">
        <f t="shared" ref="M49" si="45">M48+0.5</f>
        <v>110.8</v>
      </c>
      <c r="N49" s="74">
        <f t="shared" si="7"/>
        <v>241.97440734471613</v>
      </c>
      <c r="O49" s="80">
        <f t="shared" si="21"/>
        <v>110.8</v>
      </c>
      <c r="AB49" s="73">
        <f t="shared" si="36"/>
        <v>539.9992547112206</v>
      </c>
      <c r="AC49" s="74">
        <f t="shared" si="37"/>
        <v>43.818897637795274</v>
      </c>
      <c r="AD49" s="74">
        <f t="shared" si="38"/>
        <v>539.9992547112206</v>
      </c>
      <c r="AE49" s="75">
        <f t="shared" si="39"/>
        <v>43.818897637795274</v>
      </c>
    </row>
    <row r="50" spans="12:31" x14ac:dyDescent="0.3">
      <c r="L50" s="73">
        <f t="shared" si="6"/>
        <v>244.93954174269624</v>
      </c>
      <c r="M50" s="152">
        <v>111.3</v>
      </c>
      <c r="N50" s="74">
        <f t="shared" si="7"/>
        <v>244.93954174269624</v>
      </c>
      <c r="O50" s="80">
        <f t="shared" si="21"/>
        <v>111.3</v>
      </c>
      <c r="AB50" s="73">
        <f t="shared" si="36"/>
        <v>546.58944272361055</v>
      </c>
      <c r="AC50" s="74">
        <f t="shared" si="37"/>
        <v>44.015748031496059</v>
      </c>
      <c r="AD50" s="74">
        <f t="shared" si="38"/>
        <v>546.58944272361055</v>
      </c>
      <c r="AE50" s="75">
        <f t="shared" si="39"/>
        <v>44.015748031496059</v>
      </c>
    </row>
    <row r="51" spans="12:31" x14ac:dyDescent="0.3">
      <c r="L51" s="73">
        <f t="shared" si="6"/>
        <v>247.92880074198175</v>
      </c>
      <c r="M51" s="152">
        <f t="shared" ref="M51" si="46">M50+0.5</f>
        <v>111.8</v>
      </c>
      <c r="N51" s="74">
        <f t="shared" si="7"/>
        <v>247.92880074198175</v>
      </c>
      <c r="O51" s="80">
        <f t="shared" si="21"/>
        <v>111.8</v>
      </c>
      <c r="AB51" s="73">
        <f t="shared" si="36"/>
        <v>553.2330318639506</v>
      </c>
      <c r="AC51" s="74">
        <f t="shared" si="37"/>
        <v>44.212598425196852</v>
      </c>
      <c r="AD51" s="74">
        <f t="shared" si="38"/>
        <v>553.2330318639506</v>
      </c>
      <c r="AE51" s="75">
        <f t="shared" si="39"/>
        <v>44.212598425196852</v>
      </c>
    </row>
    <row r="52" spans="12:31" x14ac:dyDescent="0.3">
      <c r="L52" s="73">
        <f t="shared" si="6"/>
        <v>250.94228208545485</v>
      </c>
      <c r="M52" s="152">
        <v>112.3</v>
      </c>
      <c r="N52" s="74">
        <f t="shared" si="7"/>
        <v>250.94228208545485</v>
      </c>
      <c r="O52" s="80">
        <f t="shared" si="21"/>
        <v>112.3</v>
      </c>
      <c r="AB52" s="73">
        <f t="shared" si="36"/>
        <v>559.93023761840982</v>
      </c>
      <c r="AC52" s="74">
        <f t="shared" si="37"/>
        <v>44.409448818897637</v>
      </c>
      <c r="AD52" s="74">
        <f t="shared" si="38"/>
        <v>559.93023761840982</v>
      </c>
      <c r="AE52" s="75">
        <f t="shared" si="39"/>
        <v>44.409448818897637</v>
      </c>
    </row>
    <row r="53" spans="12:31" x14ac:dyDescent="0.3">
      <c r="L53" s="73">
        <f t="shared" si="6"/>
        <v>253.98008351599771</v>
      </c>
      <c r="M53" s="152">
        <f t="shared" ref="M53" si="47">M52+0.5</f>
        <v>112.8</v>
      </c>
      <c r="N53" s="74">
        <f t="shared" si="7"/>
        <v>253.98008351599771</v>
      </c>
      <c r="O53" s="80">
        <f t="shared" si="21"/>
        <v>112.8</v>
      </c>
      <c r="AB53" s="73">
        <f t="shared" si="36"/>
        <v>566.68127547315817</v>
      </c>
      <c r="AC53" s="74">
        <f t="shared" si="37"/>
        <v>44.606299212598422</v>
      </c>
      <c r="AD53" s="74">
        <f t="shared" si="38"/>
        <v>566.68127547315817</v>
      </c>
      <c r="AE53" s="75">
        <f t="shared" si="39"/>
        <v>44.606299212598422</v>
      </c>
    </row>
    <row r="54" spans="12:31" x14ac:dyDescent="0.3">
      <c r="L54" s="73">
        <f t="shared" si="6"/>
        <v>257.0423027764927</v>
      </c>
      <c r="M54" s="152">
        <v>113.3</v>
      </c>
      <c r="N54" s="74">
        <f t="shared" si="7"/>
        <v>257.0423027764927</v>
      </c>
      <c r="O54" s="80">
        <f t="shared" si="21"/>
        <v>113.3</v>
      </c>
      <c r="AB54" s="73">
        <f t="shared" si="36"/>
        <v>573.4863609143647</v>
      </c>
      <c r="AC54" s="74">
        <f t="shared" si="37"/>
        <v>44.803149606299215</v>
      </c>
      <c r="AD54" s="74">
        <f t="shared" si="38"/>
        <v>573.4863609143647</v>
      </c>
      <c r="AE54" s="75">
        <f t="shared" si="39"/>
        <v>44.803149606299215</v>
      </c>
    </row>
    <row r="55" spans="12:31" x14ac:dyDescent="0.3">
      <c r="L55" s="73">
        <f t="shared" si="6"/>
        <v>260.12903760982203</v>
      </c>
      <c r="M55" s="152">
        <f t="shared" ref="M55" si="48">M54+0.5</f>
        <v>113.8</v>
      </c>
      <c r="N55" s="74">
        <f t="shared" si="7"/>
        <v>260.12903760982203</v>
      </c>
      <c r="O55" s="80">
        <f t="shared" si="21"/>
        <v>113.8</v>
      </c>
      <c r="AB55" s="73">
        <f t="shared" si="36"/>
        <v>580.3457094281988</v>
      </c>
      <c r="AC55" s="74">
        <f t="shared" si="37"/>
        <v>45</v>
      </c>
      <c r="AD55" s="74">
        <f t="shared" si="38"/>
        <v>580.3457094281988</v>
      </c>
      <c r="AE55" s="75">
        <f t="shared" si="39"/>
        <v>45</v>
      </c>
    </row>
    <row r="56" spans="12:31" x14ac:dyDescent="0.3">
      <c r="L56" s="73">
        <f t="shared" si="6"/>
        <v>263.24038575886806</v>
      </c>
      <c r="M56" s="152">
        <v>114.3</v>
      </c>
      <c r="N56" s="74">
        <f t="shared" si="7"/>
        <v>263.24038575886806</v>
      </c>
      <c r="O56" s="80">
        <f t="shared" si="21"/>
        <v>114.3</v>
      </c>
      <c r="AB56" s="73">
        <f t="shared" si="36"/>
        <v>587.25953650082954</v>
      </c>
      <c r="AC56" s="74">
        <f t="shared" si="37"/>
        <v>45.196850393700792</v>
      </c>
      <c r="AD56" s="74">
        <f t="shared" si="38"/>
        <v>587.25953650082954</v>
      </c>
      <c r="AE56" s="75">
        <f t="shared" si="39"/>
        <v>45.196850393700792</v>
      </c>
    </row>
    <row r="57" spans="12:31" ht="15" thickBot="1" x14ac:dyDescent="0.35">
      <c r="L57" s="73">
        <f t="shared" si="6"/>
        <v>266.37644496651279</v>
      </c>
      <c r="M57" s="152">
        <f t="shared" ref="M57" si="49">M56+0.5</f>
        <v>114.8</v>
      </c>
      <c r="N57" s="74">
        <f t="shared" si="7"/>
        <v>266.37644496651279</v>
      </c>
      <c r="O57" s="80">
        <f t="shared" si="21"/>
        <v>114.8</v>
      </c>
      <c r="AB57" s="76">
        <f t="shared" si="36"/>
        <v>594.22805761842676</v>
      </c>
      <c r="AC57" s="78">
        <f t="shared" si="37"/>
        <v>45.393700787401578</v>
      </c>
      <c r="AD57" s="78">
        <f t="shared" si="38"/>
        <v>594.22805761842676</v>
      </c>
      <c r="AE57" s="79">
        <f t="shared" si="39"/>
        <v>45.393700787401578</v>
      </c>
    </row>
    <row r="58" spans="12:31" ht="15" thickBot="1" x14ac:dyDescent="0.35">
      <c r="L58" s="76">
        <f t="shared" si="6"/>
        <v>269.53731297563877</v>
      </c>
      <c r="M58" s="77">
        <v>115.3</v>
      </c>
      <c r="N58" s="78">
        <f t="shared" si="7"/>
        <v>269.53731297563877</v>
      </c>
      <c r="O58" s="81">
        <f t="shared" si="21"/>
        <v>115.3</v>
      </c>
      <c r="AB58" s="37"/>
      <c r="AC58" s="37"/>
    </row>
    <row r="59" spans="12:31" x14ac:dyDescent="0.3">
      <c r="L59" s="37"/>
      <c r="M59" s="34"/>
      <c r="AB59" s="37"/>
      <c r="AC59" s="37"/>
    </row>
  </sheetData>
  <mergeCells count="9">
    <mergeCell ref="AN5:AO5"/>
    <mergeCell ref="Q4:T4"/>
    <mergeCell ref="L4:O4"/>
    <mergeCell ref="AB3:AE3"/>
    <mergeCell ref="F5:G5"/>
    <mergeCell ref="H5:I5"/>
    <mergeCell ref="V5:W5"/>
    <mergeCell ref="X5:Y5"/>
    <mergeCell ref="AL5:AM5"/>
  </mergeCells>
  <pageMargins left="0.70000000000000007" right="0.70000000000000007" top="0.75" bottom="0.75" header="0.30000000000000004" footer="0.30000000000000004"/>
  <pageSetup paperSize="0" fitToWidth="0" fitToHeight="0" orientation="portrait" horizontalDpi="0" verticalDpi="0" copies="0"/>
  <ignoredErrors>
    <ignoredError sqref="AC5:AC57 AD5:AD5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9FAC1-0760-4C07-848C-9D979E8D56B4}">
  <sheetPr>
    <tabColor rgb="FFFF0000"/>
  </sheetPr>
  <dimension ref="B1:V18"/>
  <sheetViews>
    <sheetView zoomScaleNormal="100" workbookViewId="0">
      <selection activeCell="E8" sqref="E8:E14"/>
    </sheetView>
  </sheetViews>
  <sheetFormatPr defaultColWidth="8.88671875" defaultRowHeight="13.2" x14ac:dyDescent="0.25"/>
  <cols>
    <col min="1" max="1" width="2.6640625" style="6" customWidth="1"/>
    <col min="2" max="2" width="6.88671875" style="6" customWidth="1"/>
    <col min="3" max="3" width="19.109375" style="6" customWidth="1"/>
    <col min="4" max="4" width="12.33203125" style="6" bestFit="1" customWidth="1"/>
    <col min="5" max="5" width="6.6640625" style="6" customWidth="1"/>
    <col min="6" max="6" width="4" style="6" hidden="1" customWidth="1"/>
    <col min="7" max="7" width="12.33203125" style="6" bestFit="1" customWidth="1"/>
    <col min="8" max="8" width="11.88671875" style="6" customWidth="1"/>
    <col min="9" max="9" width="4" style="6" hidden="1" customWidth="1"/>
    <col min="10" max="10" width="6.6640625" style="6" bestFit="1" customWidth="1"/>
    <col min="11" max="11" width="6" style="6" bestFit="1" customWidth="1"/>
    <col min="12" max="12" width="7.33203125" style="6" bestFit="1" customWidth="1"/>
    <col min="13" max="13" width="8" style="6" bestFit="1" customWidth="1"/>
    <col min="14" max="14" width="8.88671875" style="6"/>
    <col min="15" max="15" width="9" style="6" bestFit="1" customWidth="1"/>
    <col min="16" max="16" width="9.5546875" style="6" bestFit="1" customWidth="1"/>
    <col min="17" max="17" width="9.5546875" style="6" hidden="1" customWidth="1"/>
    <col min="18" max="20" width="0" style="6" hidden="1" customWidth="1"/>
    <col min="21" max="16384" width="8.88671875" style="6"/>
  </cols>
  <sheetData>
    <row r="1" spans="2:22" ht="10.199999999999999" customHeight="1" thickBot="1" x14ac:dyDescent="0.3">
      <c r="B1" s="5"/>
      <c r="C1" s="5"/>
      <c r="D1" s="5"/>
      <c r="E1" s="5"/>
      <c r="F1" s="5"/>
      <c r="G1" s="5"/>
      <c r="H1" s="5"/>
      <c r="I1" s="5"/>
      <c r="J1" s="5"/>
      <c r="K1" s="5"/>
      <c r="L1" s="5"/>
      <c r="M1" s="5"/>
    </row>
    <row r="2" spans="2:22" ht="32.4" customHeight="1" x14ac:dyDescent="0.25">
      <c r="B2" s="168" t="s">
        <v>12</v>
      </c>
      <c r="C2" s="169"/>
      <c r="D2" s="169"/>
      <c r="E2" s="169"/>
      <c r="F2" s="169"/>
      <c r="G2" s="169"/>
      <c r="H2" s="169"/>
      <c r="I2" s="169"/>
      <c r="J2" s="169"/>
      <c r="K2" s="169"/>
      <c r="L2" s="169"/>
      <c r="M2" s="170"/>
    </row>
    <row r="3" spans="2:22" ht="18" thickBot="1" x14ac:dyDescent="0.3">
      <c r="B3" s="171" t="s">
        <v>13</v>
      </c>
      <c r="C3" s="172"/>
      <c r="D3" s="172"/>
      <c r="E3" s="172"/>
      <c r="F3" s="172"/>
      <c r="G3" s="172"/>
      <c r="H3" s="172"/>
      <c r="I3" s="172"/>
      <c r="J3" s="172"/>
      <c r="K3" s="172"/>
      <c r="L3" s="172"/>
      <c r="M3" s="173"/>
    </row>
    <row r="4" spans="2:22" ht="9" customHeight="1" thickBot="1" x14ac:dyDescent="0.3">
      <c r="B4" s="5"/>
      <c r="C4" s="5"/>
      <c r="D4" s="5"/>
      <c r="E4" s="5"/>
      <c r="F4" s="5"/>
      <c r="G4" s="5"/>
      <c r="H4" s="5"/>
      <c r="I4" s="5"/>
      <c r="J4" s="5"/>
      <c r="K4" s="5"/>
      <c r="L4" s="5"/>
      <c r="M4" s="5"/>
    </row>
    <row r="5" spans="2:22" ht="13.8" thickBot="1" x14ac:dyDescent="0.3">
      <c r="B5" s="174" t="s">
        <v>14</v>
      </c>
      <c r="C5" s="175"/>
      <c r="D5" s="7">
        <f>'Maternal lines'!C7</f>
        <v>3229.7721410084564</v>
      </c>
      <c r="E5" s="8"/>
      <c r="F5" s="8"/>
      <c r="G5" s="8"/>
      <c r="H5" s="8"/>
      <c r="I5" s="8"/>
      <c r="J5" s="8"/>
      <c r="K5" s="8"/>
      <c r="L5" s="8"/>
      <c r="M5" s="8"/>
    </row>
    <row r="6" spans="2:22" ht="36" customHeight="1" thickBot="1" x14ac:dyDescent="0.3">
      <c r="B6" s="5"/>
      <c r="C6" s="5"/>
      <c r="D6" s="5"/>
      <c r="E6" s="5"/>
      <c r="F6" s="5"/>
      <c r="G6" s="5"/>
      <c r="H6" s="5"/>
      <c r="I6" s="5"/>
      <c r="J6" s="176" t="s">
        <v>15</v>
      </c>
      <c r="K6" s="177"/>
      <c r="L6" s="178" t="s">
        <v>16</v>
      </c>
      <c r="M6" s="178"/>
    </row>
    <row r="7" spans="2:22" ht="44.4" customHeight="1" x14ac:dyDescent="0.25">
      <c r="B7" s="10" t="s">
        <v>17</v>
      </c>
      <c r="C7" s="11" t="s">
        <v>18</v>
      </c>
      <c r="D7" s="12" t="s">
        <v>19</v>
      </c>
      <c r="E7" s="12" t="s">
        <v>20</v>
      </c>
      <c r="F7" s="13"/>
      <c r="G7" s="12" t="s">
        <v>21</v>
      </c>
      <c r="H7" s="13" t="s">
        <v>22</v>
      </c>
      <c r="I7" s="13"/>
      <c r="J7" s="14" t="s">
        <v>23</v>
      </c>
      <c r="K7" s="14" t="s">
        <v>24</v>
      </c>
      <c r="L7" s="14" t="s">
        <v>23</v>
      </c>
      <c r="M7" s="14" t="s">
        <v>24</v>
      </c>
    </row>
    <row r="8" spans="2:22" x14ac:dyDescent="0.25">
      <c r="B8" s="15" t="s">
        <v>25</v>
      </c>
      <c r="C8" s="16">
        <v>0.19500000000000001</v>
      </c>
      <c r="D8" s="17">
        <f>'Maternal lines'!C45</f>
        <v>320</v>
      </c>
      <c r="E8" s="18">
        <f>CONVERT(((0.5357*($T8^2))-(8.8929*$T8)+35.857),"kg","lbm")</f>
        <v>60.626681176316964</v>
      </c>
      <c r="F8" s="18">
        <f t="shared" ref="F8:F14" si="0">$D$15</f>
        <v>419.83824683823491</v>
      </c>
      <c r="G8" s="17">
        <f>D8</f>
        <v>320</v>
      </c>
      <c r="H8" s="18">
        <f t="shared" ref="H8:H14" si="1">IF($G$8&gt;150,((0.4286*($T8^2))-(8.1143*$T8)+33.4),((0.5357*($T8^2))-(8.8929*$T8)+35.857))</f>
        <v>25.714299999999998</v>
      </c>
      <c r="I8" s="18">
        <f t="shared" ref="I8:I14" si="2">$G$15</f>
        <v>361.78564299999999</v>
      </c>
      <c r="J8" s="18">
        <f>100*D8^0.75</f>
        <v>7565.9328720254052</v>
      </c>
      <c r="K8" s="18">
        <f>100*G8^0.75</f>
        <v>7565.9328720254052</v>
      </c>
      <c r="L8" s="29">
        <f>'Maternal lines'!$D$14/(J8/$D$5)</f>
        <v>1.719189647716993</v>
      </c>
      <c r="M8" s="29">
        <f>'Maternal lines'!$D$14/(K8/$D$5)</f>
        <v>1.719189647716993</v>
      </c>
      <c r="T8" s="6">
        <v>1</v>
      </c>
    </row>
    <row r="9" spans="2:22" x14ac:dyDescent="0.25">
      <c r="B9" s="15" t="s">
        <v>26</v>
      </c>
      <c r="C9" s="16">
        <v>0.17499999999999999</v>
      </c>
      <c r="D9" s="18">
        <f t="shared" ref="D9:D14" si="3">D8+E8</f>
        <v>380.62668117631699</v>
      </c>
      <c r="E9" s="18">
        <f t="shared" ref="E9:E14" si="4">CONVERT(((0.5357*($T9^2))-(8.8929*$T9)+35.857),"kg","lbm")</f>
        <v>44.564241678051147</v>
      </c>
      <c r="F9" s="18">
        <f t="shared" si="0"/>
        <v>419.83824683823491</v>
      </c>
      <c r="G9" s="18">
        <f>(G8+H8)</f>
        <v>345.71429999999998</v>
      </c>
      <c r="H9" s="18">
        <f t="shared" si="1"/>
        <v>18.885799999999996</v>
      </c>
      <c r="I9" s="18">
        <f t="shared" si="2"/>
        <v>361.78564299999999</v>
      </c>
      <c r="J9" s="18">
        <f t="shared" ref="J9:J14" si="5">100*D9^0.75</f>
        <v>8617.3636644776416</v>
      </c>
      <c r="K9" s="18">
        <f t="shared" ref="K9:K14" si="6">100*G9^0.75</f>
        <v>8017.4822651819768</v>
      </c>
      <c r="L9" s="29">
        <f>'Maternal lines'!$D$14/(J9/$D$5)</f>
        <v>1.5094260814970766</v>
      </c>
      <c r="M9" s="29">
        <f>'Maternal lines'!$D$15/(K9/$D$5)</f>
        <v>1.3473869339221805</v>
      </c>
      <c r="O9" s="95">
        <f>C9/(SUM($C$9:$C$14))</f>
        <v>0.21739130434782608</v>
      </c>
      <c r="P9" s="9"/>
      <c r="T9" s="6">
        <v>2</v>
      </c>
      <c r="V9" s="19"/>
    </row>
    <row r="10" spans="2:22" x14ac:dyDescent="0.25">
      <c r="B10" s="15" t="s">
        <v>27</v>
      </c>
      <c r="C10" s="16">
        <v>0.16500000000000001</v>
      </c>
      <c r="D10" s="18">
        <f t="shared" si="3"/>
        <v>425.19092285436813</v>
      </c>
      <c r="E10" s="18">
        <f t="shared" si="4"/>
        <v>30.863834856834124</v>
      </c>
      <c r="F10" s="18">
        <f t="shared" si="0"/>
        <v>419.83824683823491</v>
      </c>
      <c r="G10" s="18">
        <f t="shared" ref="G10:G14" si="7">(G9+H9)</f>
        <v>364.6001</v>
      </c>
      <c r="H10" s="18">
        <f t="shared" si="1"/>
        <v>12.914499999999997</v>
      </c>
      <c r="I10" s="18">
        <f t="shared" si="2"/>
        <v>361.78564299999999</v>
      </c>
      <c r="J10" s="18">
        <f t="shared" si="5"/>
        <v>9363.4951170272834</v>
      </c>
      <c r="K10" s="18">
        <f t="shared" si="6"/>
        <v>8343.775062941384</v>
      </c>
      <c r="L10" s="29">
        <f>'Maternal lines'!$D$14/(J10/$D$5)</f>
        <v>1.3891472475117086</v>
      </c>
      <c r="M10" s="29">
        <f>'Maternal lines'!$D$15/(K10/$D$5)</f>
        <v>1.2946958379832936</v>
      </c>
      <c r="O10" s="95">
        <f t="shared" ref="O10:O14" si="8">C10/(SUM($C$9:$C$14))</f>
        <v>0.20496894409937891</v>
      </c>
      <c r="T10" s="6">
        <v>3</v>
      </c>
      <c r="V10" s="6" t="s">
        <v>76</v>
      </c>
    </row>
    <row r="11" spans="2:22" x14ac:dyDescent="0.25">
      <c r="B11" s="15" t="s">
        <v>28</v>
      </c>
      <c r="C11" s="16">
        <v>0.14499999999999999</v>
      </c>
      <c r="D11" s="18">
        <f t="shared" si="3"/>
        <v>456.05475771120223</v>
      </c>
      <c r="E11" s="18">
        <f t="shared" si="4"/>
        <v>19.525460712665868</v>
      </c>
      <c r="F11" s="18">
        <f t="shared" si="0"/>
        <v>419.83824683823491</v>
      </c>
      <c r="G11" s="18">
        <f t="shared" si="7"/>
        <v>377.51459999999997</v>
      </c>
      <c r="H11" s="18">
        <f t="shared" si="1"/>
        <v>7.8003999999999962</v>
      </c>
      <c r="I11" s="18">
        <f t="shared" si="2"/>
        <v>361.78564299999999</v>
      </c>
      <c r="J11" s="18">
        <f t="shared" si="5"/>
        <v>9868.7635373478843</v>
      </c>
      <c r="K11" s="18">
        <f t="shared" si="6"/>
        <v>8564.4664839951056</v>
      </c>
      <c r="L11" s="29">
        <f>'Maternal lines'!$D$14/(J11/$D$5)</f>
        <v>1.3180246359822427</v>
      </c>
      <c r="M11" s="29">
        <f>'Maternal lines'!$D$15/(K11/$D$5)</f>
        <v>1.2613337756936192</v>
      </c>
      <c r="O11" s="95">
        <f t="shared" si="8"/>
        <v>0.18012422360248448</v>
      </c>
      <c r="T11" s="6">
        <v>4</v>
      </c>
    </row>
    <row r="12" spans="2:22" x14ac:dyDescent="0.25">
      <c r="B12" s="15" t="s">
        <v>29</v>
      </c>
      <c r="C12" s="16">
        <v>0.13</v>
      </c>
      <c r="D12" s="18">
        <f t="shared" si="3"/>
        <v>475.58021842386808</v>
      </c>
      <c r="E12" s="18">
        <f t="shared" si="4"/>
        <v>10.5491192455464</v>
      </c>
      <c r="F12" s="18">
        <f t="shared" si="0"/>
        <v>419.83824683823491</v>
      </c>
      <c r="G12" s="18">
        <f t="shared" si="7"/>
        <v>385.31499999999994</v>
      </c>
      <c r="H12" s="18">
        <f t="shared" si="1"/>
        <v>3.5434999999999981</v>
      </c>
      <c r="I12" s="18">
        <f t="shared" si="2"/>
        <v>361.78564299999999</v>
      </c>
      <c r="J12" s="18">
        <f t="shared" si="5"/>
        <v>10183.987005741354</v>
      </c>
      <c r="K12" s="18">
        <f t="shared" si="6"/>
        <v>8696.8491482043501</v>
      </c>
      <c r="L12" s="29">
        <f>'Maternal lines'!$D$14/(J12/$D$5)</f>
        <v>1.2772280111487531</v>
      </c>
      <c r="M12" s="29">
        <f>'Maternal lines'!$D$15/(K12/$D$5)</f>
        <v>1.2421338651469469</v>
      </c>
      <c r="O12" s="95">
        <f t="shared" si="8"/>
        <v>0.16149068322981369</v>
      </c>
      <c r="T12" s="6">
        <v>5</v>
      </c>
    </row>
    <row r="13" spans="2:22" x14ac:dyDescent="0.25">
      <c r="B13" s="15" t="s">
        <v>30</v>
      </c>
      <c r="C13" s="16">
        <v>0.1</v>
      </c>
      <c r="D13" s="18">
        <f t="shared" si="3"/>
        <v>486.1293376694145</v>
      </c>
      <c r="E13" s="18">
        <f t="shared" si="4"/>
        <v>3.9348104554757044</v>
      </c>
      <c r="F13" s="18">
        <f t="shared" si="0"/>
        <v>419.83824683823491</v>
      </c>
      <c r="G13" s="18">
        <f t="shared" si="7"/>
        <v>388.85849999999994</v>
      </c>
      <c r="H13" s="18">
        <f t="shared" si="1"/>
        <v>0.14379999999999882</v>
      </c>
      <c r="I13" s="18">
        <f t="shared" si="2"/>
        <v>361.78564299999999</v>
      </c>
      <c r="J13" s="18">
        <f t="shared" si="5"/>
        <v>10352.944205370241</v>
      </c>
      <c r="K13" s="18">
        <f t="shared" si="6"/>
        <v>8756.7650496805491</v>
      </c>
      <c r="L13" s="29">
        <f>'Maternal lines'!$D$14/(J13/$D$5)</f>
        <v>1.2563840015829209</v>
      </c>
      <c r="M13" s="29">
        <f>'Maternal lines'!$D$15/(K13/$D$5)</f>
        <v>1.233634885231172</v>
      </c>
      <c r="O13" s="95">
        <f t="shared" si="8"/>
        <v>0.12422360248447206</v>
      </c>
      <c r="T13" s="6">
        <v>6</v>
      </c>
    </row>
    <row r="14" spans="2:22" ht="13.8" thickBot="1" x14ac:dyDescent="0.3">
      <c r="B14" s="20" t="s">
        <v>31</v>
      </c>
      <c r="C14" s="21">
        <v>8.9999999999999969E-2</v>
      </c>
      <c r="D14" s="22">
        <f t="shared" si="3"/>
        <v>490.06414812489021</v>
      </c>
      <c r="E14" s="18">
        <f t="shared" si="4"/>
        <v>-0.31746565754622008</v>
      </c>
      <c r="F14" s="22">
        <f t="shared" si="0"/>
        <v>419.83824683823491</v>
      </c>
      <c r="G14" s="22">
        <f t="shared" si="7"/>
        <v>389.00229999999993</v>
      </c>
      <c r="H14" s="22">
        <f t="shared" si="1"/>
        <v>-2.3986999999999981</v>
      </c>
      <c r="I14" s="22">
        <f t="shared" si="2"/>
        <v>361.78564299999999</v>
      </c>
      <c r="J14" s="18">
        <f t="shared" si="5"/>
        <v>10415.729649429735</v>
      </c>
      <c r="K14" s="18">
        <f t="shared" si="6"/>
        <v>8759.1936283579125</v>
      </c>
      <c r="L14" s="29">
        <f>'Maternal lines'!$D$14/(J14/$D$5)</f>
        <v>1.24881058809163</v>
      </c>
      <c r="M14" s="29">
        <f>'Maternal lines'!$D$15/(K14/$D$5)</f>
        <v>1.2332928469677154</v>
      </c>
      <c r="O14" s="95">
        <f t="shared" si="8"/>
        <v>0.11180124223602482</v>
      </c>
      <c r="T14" s="6">
        <v>7</v>
      </c>
    </row>
    <row r="15" spans="2:22" ht="13.8" thickBot="1" x14ac:dyDescent="0.3">
      <c r="B15" s="23"/>
      <c r="C15" s="24" t="s">
        <v>32</v>
      </c>
      <c r="D15" s="25">
        <f>SUMPRODUCT($C$8:$C$14,D8:D14)</f>
        <v>419.83824683823491</v>
      </c>
      <c r="E15" s="25">
        <f>SUMPRODUCT($C$8:$C$14,E8:E14)</f>
        <v>29.280964316044383</v>
      </c>
      <c r="F15" s="26"/>
      <c r="G15" s="25">
        <f>SUMPRODUCT($C$8:$C$14,G8:G14)</f>
        <v>361.78564299999999</v>
      </c>
      <c r="H15" s="25">
        <f>SUMPRODUCT($C$8:$C$14,H8:H14)</f>
        <v>11.840405999999998</v>
      </c>
      <c r="I15" s="26"/>
      <c r="J15" s="26"/>
      <c r="K15" s="26"/>
      <c r="L15" s="30">
        <f>SUMPRODUCT($C$8:$C$14,L8:L14)</f>
        <v>1.4237854081595358</v>
      </c>
      <c r="M15" s="31">
        <f>SUMPRODUCT($C$9:$C$14,M9:M14)/(100%-C8)</f>
        <v>1.2772026973894588</v>
      </c>
      <c r="Q15" s="9">
        <f>21*Q17</f>
        <v>52.749294611520199</v>
      </c>
      <c r="R15" s="9">
        <f>365-Q15</f>
        <v>312.25070538847979</v>
      </c>
      <c r="S15" s="9">
        <f>SUM(Q15:R15)</f>
        <v>365</v>
      </c>
    </row>
    <row r="16" spans="2:22" ht="10.95" customHeight="1" x14ac:dyDescent="0.3">
      <c r="G16" s="9"/>
      <c r="H16" s="9"/>
      <c r="Q16" s="27">
        <f>Q15/$S$15</f>
        <v>0.14451861537402794</v>
      </c>
      <c r="R16" s="27">
        <f>R15/$S$15</f>
        <v>0.85548138462597201</v>
      </c>
      <c r="S16" s="9"/>
    </row>
    <row r="17" spans="7:17" x14ac:dyDescent="0.25">
      <c r="G17" s="9"/>
      <c r="H17" s="9"/>
      <c r="Q17" s="28">
        <f>365/(((21+115+7)*0.89)+(((21+21+115+7)*0.11)))</f>
        <v>2.5118711719771523</v>
      </c>
    </row>
    <row r="18" spans="7:17" x14ac:dyDescent="0.25">
      <c r="G18" s="9"/>
      <c r="H18" s="9"/>
      <c r="M18" s="9"/>
    </row>
  </sheetData>
  <mergeCells count="5">
    <mergeCell ref="B2:M2"/>
    <mergeCell ref="B3:M3"/>
    <mergeCell ref="B5:C5"/>
    <mergeCell ref="J6:K6"/>
    <mergeCell ref="L6:M6"/>
  </mergeCells>
  <dataValidations count="2">
    <dataValidation type="decimal" allowBlank="1" showInputMessage="1" showErrorMessage="1" errorTitle="Normal" error="&gt;135 kg_x000a_&lt;150 kg" promptTitle="Normal Gilts" prompt="Normal &gt;135 to 150kg" sqref="D8" xr:uid="{705B5B8B-20AE-4466-B31E-F020A58FA6EE}">
      <formula1>135</formula1>
      <formula2>200</formula2>
    </dataValidation>
    <dataValidation type="whole" operator="greaterThanOrEqual" allowBlank="1" showInputMessage="1" showErrorMessage="1" errorTitle="FAT" error="Please considere &gt;150kg" promptTitle="FAT GILTS" prompt="Fat gilts are considered over than 150kg" sqref="G8" xr:uid="{AFD60308-EA18-4729-9A11-5B83DCB00916}">
      <formula1>150</formula1>
    </dataValidation>
  </dataValidations>
  <pageMargins left="0.78740157499999996" right="0.78740157499999996" top="0.984251969" bottom="0.984251969" header="0.49212598499999999" footer="0.49212598499999999"/>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vt:lpstr>
      <vt:lpstr>Maternal lines</vt:lpstr>
      <vt:lpstr>FFM</vt:lpstr>
      <vt:lpstr>Terminal lines</vt:lpstr>
      <vt:lpstr>I. Herd Sire (imperial)</vt:lpstr>
      <vt:lpstr>FFS</vt:lpstr>
      <vt:lpstr>II. Herd Maternal (imperial)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uorlando</dc:creator>
  <cp:lastModifiedBy>Ron Aldwin Navales</cp:lastModifiedBy>
  <cp:lastPrinted>2020-06-04T16:35:57Z</cp:lastPrinted>
  <dcterms:created xsi:type="dcterms:W3CDTF">2020-06-04T15:40:37Z</dcterms:created>
  <dcterms:modified xsi:type="dcterms:W3CDTF">2021-04-27T08:21:31Z</dcterms:modified>
</cp:coreProperties>
</file>