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60" windowWidth="15280" windowHeight="5060" activeTab="0"/>
  </bookViews>
  <sheets>
    <sheet name="Seasonal Formulation" sheetId="1" r:id="rId1"/>
    <sheet name="GC" sheetId="2" state="hidden" r:id="rId2"/>
    <sheet name="Calendar" sheetId="3" r:id="rId3"/>
    <sheet name="Schedule" sheetId="4" r:id="rId4"/>
    <sheet name="Sheet7" sheetId="5" state="hidden" r:id="rId5"/>
  </sheets>
  <definedNames>
    <definedName name="_xlnm._FilterDatabase" localSheetId="3" hidden="1">'Schedule'!$A$1:$F$19</definedName>
    <definedName name="_xlfn.IFERROR" hidden="1">#NAME?</definedName>
    <definedName name="_xlnm.Print_Area" localSheetId="2">'Calendar'!$A$1:$Z$31</definedName>
  </definedNames>
  <calcPr fullCalcOnLoad="1"/>
</workbook>
</file>

<file path=xl/sharedStrings.xml><?xml version="1.0" encoding="utf-8"?>
<sst xmlns="http://schemas.openxmlformats.org/spreadsheetml/2006/main" count="171" uniqueCount="69">
  <si>
    <t>Barrows</t>
  </si>
  <si>
    <t>Gilts</t>
  </si>
  <si>
    <t>Age</t>
  </si>
  <si>
    <t>Weight, kg</t>
  </si>
  <si>
    <t>Barrows + Gilts</t>
  </si>
  <si>
    <t>Phase</t>
  </si>
  <si>
    <t>Start</t>
  </si>
  <si>
    <t>lb</t>
  </si>
  <si>
    <t>337 Average High an Low Energy</t>
  </si>
  <si>
    <t>Age Start</t>
  </si>
  <si>
    <t>Age Finish</t>
  </si>
  <si>
    <t>Weeks on feed</t>
  </si>
  <si>
    <t>Weaned age</t>
  </si>
  <si>
    <t>kg</t>
  </si>
  <si>
    <t>Weeks on feed Ac.</t>
  </si>
  <si>
    <t>Intervention</t>
  </si>
  <si>
    <t>Finish</t>
  </si>
  <si>
    <t>Production system</t>
  </si>
  <si>
    <t>JANUARY</t>
  </si>
  <si>
    <t>SUN</t>
  </si>
  <si>
    <t>MON</t>
  </si>
  <si>
    <t>TUE</t>
  </si>
  <si>
    <t>WED</t>
  </si>
  <si>
    <t>THU</t>
  </si>
  <si>
    <t>FRI</t>
  </si>
  <si>
    <t>SAT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</si>
  <si>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</si>
  <si>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</si>
  <si>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</si>
  <si>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</si>
  <si>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</si>
  <si>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</si>
  <si>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</si>
  <si>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</si>
  <si>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</si>
  <si>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</si>
  <si>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</si>
  <si>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Low constraints</t>
  </si>
  <si>
    <t>High constraints</t>
  </si>
  <si>
    <t>Normal</t>
  </si>
  <si>
    <t>Gender</t>
  </si>
  <si>
    <t>Legend</t>
  </si>
  <si>
    <t>Color</t>
  </si>
  <si>
    <t>Phase 1</t>
  </si>
  <si>
    <t>x</t>
  </si>
  <si>
    <t>Phase 2</t>
  </si>
  <si>
    <t>Phase 3</t>
  </si>
  <si>
    <t>Phase 4</t>
  </si>
  <si>
    <t>Phase 5</t>
  </si>
  <si>
    <t>Phase 6</t>
  </si>
  <si>
    <t>Phase 7</t>
  </si>
  <si>
    <t>Phase 8</t>
  </si>
  <si>
    <t>Phase 9</t>
  </si>
  <si>
    <t>Best window to market pigs</t>
  </si>
  <si>
    <t xml:space="preserve">If system is fixed time, consider as the final weight the expected weight after accounting for the dietary changes </t>
  </si>
  <si>
    <t xml:space="preserve">for summer months. </t>
  </si>
  <si>
    <t>Initial</t>
  </si>
  <si>
    <t>Final</t>
  </si>
  <si>
    <t xml:space="preserve"> </t>
  </si>
  <si>
    <t>Body weight, lb</t>
  </si>
  <si>
    <t>Fill colored cells</t>
  </si>
  <si>
    <t>Stop</t>
  </si>
  <si>
    <t>End</t>
  </si>
  <si>
    <t>Subject</t>
  </si>
  <si>
    <t>end time</t>
  </si>
  <si>
    <t>Description</t>
  </si>
  <si>
    <t>Start date</t>
  </si>
  <si>
    <t>End Date</t>
  </si>
  <si>
    <t>start time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</si>
</sst>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&quot;R$ &quot;* #,##0.00_);_(&quot;R$ &quot;* \(#,##0.00\);_(&quot;R$ &quot;* &quot;-&quot;??_);_(@_)"/>
    <numFmt numFmtId="174" formatCode="_-\$* #,##0.00_-;&quot;-$&quot;* #,##0.00_-;_-\$* \-??_-;_-@_-"/>
    <numFmt numFmtId="175" formatCode="0.000%"/>
    <numFmt numFmtId="176" formatCode="[$-F800]dddd\,\ mmmm\ dd\,\ yyyy"/>
    <numFmt numFmtId="177" formatCode="dd"/>
    <numFmt numFmtId="178" formatCode="[$-409]dddd\,\ mmmm\ dd\,\ yyyy"/>
    <numFmt numFmtId="179" formatCode="[$-409]dddd\,\ mmmm\ d\,\ yyyy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9"/>
      <name val="Calibri"/>
      <family val="2"/>
    </font>
    <font>
      <sz val="9"/>
      <color indexed="8"/>
      <name val="Verdana"/>
      <family val="2"/>
    </font>
    <font>
      <b/>
      <sz val="9"/>
      <color indexed="8"/>
      <name val="Verdana"/>
      <family val="2"/>
    </font>
    <font>
      <b/>
      <sz val="9"/>
      <color indexed="56"/>
      <name val="Verdana"/>
      <family val="2"/>
    </font>
    <font>
      <b/>
      <sz val="9"/>
      <color indexed="17"/>
      <name val="Verdana"/>
      <family val="2"/>
    </font>
    <font>
      <i/>
      <sz val="9"/>
      <color indexed="8"/>
      <name val="Verdana"/>
      <family val="2"/>
    </font>
    <font>
      <b/>
      <sz val="11"/>
      <name val="Calibri"/>
      <family val="2"/>
    </font>
    <font>
      <b/>
      <sz val="9"/>
      <color indexed="9"/>
      <name val="Verdana"/>
      <family val="2"/>
    </font>
    <font>
      <sz val="9"/>
      <color indexed="9"/>
      <name val="Verdana"/>
      <family val="2"/>
    </font>
    <font>
      <sz val="14"/>
      <color indexed="9"/>
      <name val="Verdana"/>
      <family val="2"/>
    </font>
    <font>
      <sz val="13"/>
      <name val="Lucida Grande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rgb="FF1F497D"/>
      <name val="Verdana"/>
      <family val="2"/>
    </font>
    <font>
      <b/>
      <sz val="9"/>
      <color theme="3"/>
      <name val="Verdana"/>
      <family val="2"/>
    </font>
    <font>
      <b/>
      <sz val="9"/>
      <color rgb="FF00B050"/>
      <name val="Verdana"/>
      <family val="2"/>
    </font>
    <font>
      <i/>
      <sz val="9"/>
      <color theme="1"/>
      <name val="Verdana"/>
      <family val="2"/>
    </font>
    <font>
      <b/>
      <sz val="9"/>
      <color theme="0"/>
      <name val="Verdana"/>
      <family val="2"/>
    </font>
    <font>
      <sz val="9"/>
      <color theme="0"/>
      <name val="Verdana"/>
      <family val="2"/>
    </font>
    <font>
      <sz val="14"/>
      <color theme="0"/>
      <name val="Verdan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2499800026416778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174" fontId="2" fillId="0" borderId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 applyProtection="1">
      <alignment horizontal="center"/>
      <protection hidden="1"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72" fontId="0" fillId="33" borderId="0" xfId="0" applyNumberFormat="1" applyFill="1" applyBorder="1" applyAlignment="1">
      <alignment/>
    </xf>
    <xf numFmtId="0" fontId="51" fillId="34" borderId="10" xfId="0" applyFont="1" applyFill="1" applyBorder="1" applyAlignment="1" applyProtection="1">
      <alignment horizontal="center" wrapText="1"/>
      <protection hidden="1"/>
    </xf>
    <xf numFmtId="172" fontId="53" fillId="0" borderId="10" xfId="0" applyNumberFormat="1" applyFont="1" applyFill="1" applyBorder="1" applyAlignment="1" applyProtection="1">
      <alignment horizontal="center" wrapText="1"/>
      <protection hidden="1"/>
    </xf>
    <xf numFmtId="172" fontId="53" fillId="0" borderId="10" xfId="0" applyNumberFormat="1" applyFont="1" applyBorder="1" applyAlignment="1" applyProtection="1">
      <alignment horizontal="center"/>
      <protection hidden="1"/>
    </xf>
    <xf numFmtId="172" fontId="53" fillId="0" borderId="10" xfId="0" applyNumberFormat="1" applyFont="1" applyBorder="1" applyAlignment="1" applyProtection="1">
      <alignment horizontal="center" vertical="center"/>
      <protection hidden="1"/>
    </xf>
    <xf numFmtId="172" fontId="53" fillId="35" borderId="10" xfId="0" applyNumberFormat="1" applyFont="1" applyFill="1" applyBorder="1" applyAlignment="1" applyProtection="1">
      <alignment horizontal="center"/>
      <protection hidden="1"/>
    </xf>
    <xf numFmtId="0" fontId="51" fillId="34" borderId="11" xfId="0" applyFont="1" applyFill="1" applyBorder="1" applyAlignment="1" applyProtection="1">
      <alignment horizontal="center" wrapText="1"/>
      <protection hidden="1"/>
    </xf>
    <xf numFmtId="172" fontId="53" fillId="0" borderId="11" xfId="0" applyNumberFormat="1" applyFont="1" applyFill="1" applyBorder="1" applyAlignment="1" applyProtection="1">
      <alignment horizontal="center" wrapText="1"/>
      <protection hidden="1"/>
    </xf>
    <xf numFmtId="1" fontId="53" fillId="36" borderId="12" xfId="0" applyNumberFormat="1" applyFont="1" applyFill="1" applyBorder="1" applyAlignment="1" applyProtection="1">
      <alignment horizontal="center" vertical="center"/>
      <protection hidden="1"/>
    </xf>
    <xf numFmtId="1" fontId="53" fillId="35" borderId="12" xfId="0" applyNumberFormat="1" applyFont="1" applyFill="1" applyBorder="1" applyAlignment="1" applyProtection="1">
      <alignment horizontal="center" vertical="center"/>
      <protection hidden="1"/>
    </xf>
    <xf numFmtId="172" fontId="53" fillId="0" borderId="11" xfId="0" applyNumberFormat="1" applyFont="1" applyBorder="1" applyAlignment="1" applyProtection="1">
      <alignment horizontal="center"/>
      <protection hidden="1"/>
    </xf>
    <xf numFmtId="172" fontId="53" fillId="0" borderId="11" xfId="0" applyNumberFormat="1" applyFont="1" applyBorder="1" applyAlignment="1" applyProtection="1">
      <alignment horizontal="center" vertical="center"/>
      <protection hidden="1"/>
    </xf>
    <xf numFmtId="172" fontId="53" fillId="35" borderId="11" xfId="0" applyNumberFormat="1" applyFont="1" applyFill="1" applyBorder="1" applyAlignment="1" applyProtection="1">
      <alignment horizontal="center"/>
      <protection hidden="1"/>
    </xf>
    <xf numFmtId="172" fontId="53" fillId="0" borderId="13" xfId="0" applyNumberFormat="1" applyFont="1" applyBorder="1" applyAlignment="1" applyProtection="1">
      <alignment horizontal="center"/>
      <protection hidden="1"/>
    </xf>
    <xf numFmtId="172" fontId="53" fillId="0" borderId="14" xfId="0" applyNumberFormat="1" applyFont="1" applyBorder="1" applyAlignment="1" applyProtection="1">
      <alignment horizontal="center"/>
      <protection hidden="1"/>
    </xf>
    <xf numFmtId="1" fontId="53" fillId="36" borderId="15" xfId="0" applyNumberFormat="1" applyFont="1" applyFill="1" applyBorder="1" applyAlignment="1" applyProtection="1">
      <alignment horizontal="center" vertical="center"/>
      <protection hidden="1"/>
    </xf>
    <xf numFmtId="0" fontId="54" fillId="0" borderId="0" xfId="0" applyFont="1" applyAlignment="1">
      <alignment/>
    </xf>
    <xf numFmtId="177" fontId="54" fillId="0" borderId="0" xfId="0" applyNumberFormat="1" applyFont="1" applyBorder="1" applyAlignment="1">
      <alignment horizontal="center"/>
    </xf>
    <xf numFmtId="0" fontId="54" fillId="0" borderId="0" xfId="0" applyFont="1" applyBorder="1" applyAlignment="1">
      <alignment horizontal="center"/>
    </xf>
    <xf numFmtId="14" fontId="54" fillId="0" borderId="0" xfId="0" applyNumberFormat="1" applyFont="1" applyAlignment="1">
      <alignment/>
    </xf>
    <xf numFmtId="0" fontId="55" fillId="0" borderId="0" xfId="0" applyFont="1" applyFill="1" applyBorder="1" applyAlignment="1">
      <alignment horizontal="center"/>
    </xf>
    <xf numFmtId="0" fontId="54" fillId="0" borderId="16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54" fillId="0" borderId="18" xfId="0" applyFont="1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 vertical="center"/>
    </xf>
    <xf numFmtId="0" fontId="54" fillId="0" borderId="19" xfId="0" applyFont="1" applyBorder="1" applyAlignment="1">
      <alignment horizontal="center" vertical="center"/>
    </xf>
    <xf numFmtId="177" fontId="54" fillId="0" borderId="20" xfId="0" applyNumberFormat="1" applyFont="1" applyBorder="1" applyAlignment="1">
      <alignment horizontal="center" vertical="center"/>
    </xf>
    <xf numFmtId="177" fontId="54" fillId="0" borderId="21" xfId="0" applyNumberFormat="1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177" fontId="54" fillId="0" borderId="0" xfId="0" applyNumberFormat="1" applyFont="1" applyFill="1" applyBorder="1" applyAlignment="1">
      <alignment horizontal="center"/>
    </xf>
    <xf numFmtId="0" fontId="54" fillId="34" borderId="10" xfId="0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177" fontId="54" fillId="0" borderId="22" xfId="0" applyNumberFormat="1" applyFont="1" applyBorder="1" applyAlignment="1">
      <alignment horizontal="center" vertical="center"/>
    </xf>
    <xf numFmtId="177" fontId="54" fillId="0" borderId="0" xfId="0" applyNumberFormat="1" applyFont="1" applyBorder="1" applyAlignment="1">
      <alignment horizontal="center" vertical="center"/>
    </xf>
    <xf numFmtId="177" fontId="54" fillId="0" borderId="23" xfId="0" applyNumberFormat="1" applyFont="1" applyBorder="1" applyAlignment="1">
      <alignment horizontal="center" vertical="center"/>
    </xf>
    <xf numFmtId="177" fontId="56" fillId="24" borderId="10" xfId="0" applyNumberFormat="1" applyFont="1" applyFill="1" applyBorder="1" applyAlignment="1">
      <alignment horizontal="center" vertical="center"/>
    </xf>
    <xf numFmtId="177" fontId="56" fillId="23" borderId="10" xfId="0" applyNumberFormat="1" applyFont="1" applyFill="1" applyBorder="1" applyAlignment="1">
      <alignment horizontal="center" vertical="center"/>
    </xf>
    <xf numFmtId="177" fontId="56" fillId="22" borderId="10" xfId="0" applyNumberFormat="1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177" fontId="56" fillId="21" borderId="10" xfId="0" applyNumberFormat="1" applyFont="1" applyFill="1" applyBorder="1" applyAlignment="1">
      <alignment horizontal="center" vertical="center"/>
    </xf>
    <xf numFmtId="177" fontId="56" fillId="37" borderId="10" xfId="0" applyNumberFormat="1" applyFont="1" applyFill="1" applyBorder="1" applyAlignment="1">
      <alignment horizontal="center" vertical="center"/>
    </xf>
    <xf numFmtId="0" fontId="56" fillId="38" borderId="10" xfId="0" applyFont="1" applyFill="1" applyBorder="1" applyAlignment="1">
      <alignment horizontal="center" vertical="center"/>
    </xf>
    <xf numFmtId="177" fontId="54" fillId="0" borderId="19" xfId="0" applyNumberFormat="1" applyFont="1" applyBorder="1" applyAlignment="1">
      <alignment horizontal="center" vertical="center"/>
    </xf>
    <xf numFmtId="0" fontId="56" fillId="39" borderId="10" xfId="0" applyFont="1" applyFill="1" applyBorder="1" applyAlignment="1">
      <alignment horizontal="center" vertical="center"/>
    </xf>
    <xf numFmtId="0" fontId="55" fillId="40" borderId="1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177" fontId="56" fillId="0" borderId="0" xfId="0" applyNumberFormat="1" applyFont="1" applyFill="1" applyBorder="1" applyAlignment="1">
      <alignment horizontal="center" vertical="center"/>
    </xf>
    <xf numFmtId="14" fontId="54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177" fontId="55" fillId="0" borderId="0" xfId="0" applyNumberFormat="1" applyFont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4" fillId="0" borderId="24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177" fontId="54" fillId="0" borderId="24" xfId="0" applyNumberFormat="1" applyFont="1" applyBorder="1" applyAlignment="1">
      <alignment horizontal="center" vertical="center"/>
    </xf>
    <xf numFmtId="177" fontId="54" fillId="0" borderId="25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57" fillId="0" borderId="0" xfId="0" applyFont="1" applyAlignment="1" applyProtection="1">
      <alignment/>
      <protection hidden="1"/>
    </xf>
    <xf numFmtId="14" fontId="57" fillId="0" borderId="0" xfId="0" applyNumberFormat="1" applyFont="1" applyAlignment="1">
      <alignment/>
    </xf>
    <xf numFmtId="0" fontId="58" fillId="34" borderId="27" xfId="0" applyFont="1" applyFill="1" applyBorder="1" applyAlignment="1" applyProtection="1">
      <alignment horizontal="left" vertical="center"/>
      <protection hidden="1"/>
    </xf>
    <xf numFmtId="14" fontId="57" fillId="0" borderId="0" xfId="0" applyNumberFormat="1" applyFont="1" applyAlignment="1" applyProtection="1">
      <alignment/>
      <protection hidden="1"/>
    </xf>
    <xf numFmtId="172" fontId="57" fillId="13" borderId="0" xfId="0" applyNumberFormat="1" applyFont="1" applyFill="1" applyBorder="1" applyAlignment="1" applyProtection="1">
      <alignment horizontal="center" vertical="center"/>
      <protection locked="0"/>
    </xf>
    <xf numFmtId="2" fontId="57" fillId="0" borderId="0" xfId="0" applyNumberFormat="1" applyFont="1" applyAlignment="1" applyProtection="1">
      <alignment horizontal="center" vertical="center"/>
      <protection hidden="1"/>
    </xf>
    <xf numFmtId="175" fontId="57" fillId="0" borderId="0" xfId="67" applyNumberFormat="1" applyFont="1" applyAlignment="1" applyProtection="1">
      <alignment horizontal="center" vertical="center"/>
      <protection hidden="1"/>
    </xf>
    <xf numFmtId="175" fontId="57" fillId="0" borderId="0" xfId="0" applyNumberFormat="1" applyFont="1" applyAlignment="1" applyProtection="1">
      <alignment/>
      <protection hidden="1"/>
    </xf>
    <xf numFmtId="0" fontId="59" fillId="34" borderId="28" xfId="0" applyFont="1" applyFill="1" applyBorder="1" applyAlignment="1" applyProtection="1">
      <alignment/>
      <protection hidden="1"/>
    </xf>
    <xf numFmtId="0" fontId="58" fillId="0" borderId="0" xfId="0" applyFont="1" applyAlignment="1" applyProtection="1">
      <alignment vertical="center"/>
      <protection hidden="1"/>
    </xf>
    <xf numFmtId="0" fontId="57" fillId="0" borderId="0" xfId="0" applyFont="1" applyFill="1" applyBorder="1" applyAlignment="1">
      <alignment/>
    </xf>
    <xf numFmtId="1" fontId="57" fillId="0" borderId="0" xfId="0" applyNumberFormat="1" applyFont="1" applyFill="1" applyBorder="1" applyAlignment="1" applyProtection="1">
      <alignment horizontal="center" vertical="center"/>
      <protection hidden="1"/>
    </xf>
    <xf numFmtId="2" fontId="57" fillId="0" borderId="0" xfId="0" applyNumberFormat="1" applyFont="1" applyFill="1" applyBorder="1" applyAlignment="1" applyProtection="1">
      <alignment horizontal="center" vertical="center"/>
      <protection hidden="1"/>
    </xf>
    <xf numFmtId="172" fontId="57" fillId="0" borderId="0" xfId="0" applyNumberFormat="1" applyFont="1" applyFill="1" applyBorder="1" applyAlignment="1" applyProtection="1">
      <alignment horizontal="center" vertical="center"/>
      <protection hidden="1"/>
    </xf>
    <xf numFmtId="176" fontId="60" fillId="0" borderId="0" xfId="0" applyNumberFormat="1" applyFont="1" applyFill="1" applyBorder="1" applyAlignment="1" applyProtection="1">
      <alignment horizontal="center" vertical="center"/>
      <protection hidden="1"/>
    </xf>
    <xf numFmtId="0" fontId="61" fillId="0" borderId="0" xfId="0" applyFont="1" applyFill="1" applyBorder="1" applyAlignment="1" applyProtection="1">
      <alignment/>
      <protection locked="0"/>
    </xf>
    <xf numFmtId="0" fontId="61" fillId="0" borderId="29" xfId="0" applyFont="1" applyFill="1" applyBorder="1" applyAlignment="1" applyProtection="1">
      <alignment/>
      <protection locked="0"/>
    </xf>
    <xf numFmtId="172" fontId="57" fillId="0" borderId="29" xfId="0" applyNumberFormat="1" applyFont="1" applyFill="1" applyBorder="1" applyAlignment="1" applyProtection="1">
      <alignment horizontal="center" vertical="center"/>
      <protection hidden="1"/>
    </xf>
    <xf numFmtId="1" fontId="57" fillId="0" borderId="29" xfId="0" applyNumberFormat="1" applyFont="1" applyFill="1" applyBorder="1" applyAlignment="1" applyProtection="1">
      <alignment horizontal="center" vertical="center"/>
      <protection hidden="1"/>
    </xf>
    <xf numFmtId="2" fontId="57" fillId="0" borderId="29" xfId="0" applyNumberFormat="1" applyFont="1" applyFill="1" applyBorder="1" applyAlignment="1" applyProtection="1">
      <alignment horizontal="center" vertical="center"/>
      <protection hidden="1"/>
    </xf>
    <xf numFmtId="0" fontId="58" fillId="0" borderId="30" xfId="0" applyFont="1" applyFill="1" applyBorder="1" applyAlignment="1" applyProtection="1">
      <alignment horizontal="center" vertical="center"/>
      <protection hidden="1"/>
    </xf>
    <xf numFmtId="0" fontId="58" fillId="0" borderId="29" xfId="0" applyFont="1" applyFill="1" applyBorder="1" applyAlignment="1" applyProtection="1">
      <alignment horizontal="center" vertical="center"/>
      <protection hidden="1"/>
    </xf>
    <xf numFmtId="0" fontId="58" fillId="0" borderId="29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172" fontId="57" fillId="0" borderId="0" xfId="0" applyNumberFormat="1" applyFont="1" applyAlignment="1">
      <alignment/>
    </xf>
    <xf numFmtId="0" fontId="62" fillId="13" borderId="0" xfId="0" applyFont="1" applyFill="1" applyAlignment="1" applyProtection="1">
      <alignment/>
      <protection hidden="1"/>
    </xf>
    <xf numFmtId="16" fontId="58" fillId="0" borderId="0" xfId="0" applyNumberFormat="1" applyFont="1" applyBorder="1" applyAlignment="1" applyProtection="1">
      <alignment horizontal="center" vertical="top"/>
      <protection hidden="1"/>
    </xf>
    <xf numFmtId="0" fontId="54" fillId="38" borderId="0" xfId="0" applyFont="1" applyFill="1" applyAlignment="1">
      <alignment/>
    </xf>
    <xf numFmtId="0" fontId="57" fillId="13" borderId="0" xfId="0" applyFont="1" applyFill="1" applyBorder="1" applyAlignment="1" applyProtection="1">
      <alignment horizontal="center"/>
      <protection locked="0"/>
    </xf>
    <xf numFmtId="1" fontId="57" fillId="13" borderId="0" xfId="0" applyNumberFormat="1" applyFont="1" applyFill="1" applyBorder="1" applyAlignment="1" applyProtection="1">
      <alignment horizontal="center"/>
      <protection locked="0"/>
    </xf>
    <xf numFmtId="1" fontId="57" fillId="13" borderId="29" xfId="0" applyNumberFormat="1" applyFont="1" applyFill="1" applyBorder="1" applyAlignment="1" applyProtection="1">
      <alignment horizontal="center"/>
      <protection locked="0"/>
    </xf>
    <xf numFmtId="176" fontId="5" fillId="0" borderId="0" xfId="0" applyNumberFormat="1" applyFont="1" applyFill="1" applyBorder="1" applyAlignment="1" applyProtection="1">
      <alignment horizontal="center" vertical="center"/>
      <protection hidden="1"/>
    </xf>
    <xf numFmtId="176" fontId="5" fillId="0" borderId="29" xfId="0" applyNumberFormat="1" applyFont="1" applyFill="1" applyBorder="1" applyAlignment="1" applyProtection="1">
      <alignment horizontal="center" vertical="center"/>
      <protection hidden="1"/>
    </xf>
    <xf numFmtId="16" fontId="5" fillId="13" borderId="27" xfId="0" applyNumberFormat="1" applyFont="1" applyFill="1" applyBorder="1" applyAlignment="1" applyProtection="1">
      <alignment horizontal="center" vertical="center"/>
      <protection locked="0"/>
    </xf>
    <xf numFmtId="14" fontId="57" fillId="13" borderId="27" xfId="0" applyNumberFormat="1" applyFont="1" applyFill="1" applyBorder="1" applyAlignment="1" applyProtection="1">
      <alignment horizontal="center" vertical="center"/>
      <protection locked="0"/>
    </xf>
    <xf numFmtId="14" fontId="57" fillId="13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vertical="top" wrapText="1"/>
    </xf>
    <xf numFmtId="0" fontId="32" fillId="34" borderId="10" xfId="0" applyFont="1" applyFill="1" applyBorder="1" applyAlignment="1">
      <alignment/>
    </xf>
    <xf numFmtId="14" fontId="32" fillId="34" borderId="10" xfId="0" applyNumberFormat="1" applyFont="1" applyFill="1" applyBorder="1" applyAlignment="1">
      <alignment vertical="center" wrapText="1"/>
    </xf>
    <xf numFmtId="0" fontId="32" fillId="34" borderId="10" xfId="0" applyFont="1" applyFill="1" applyBorder="1" applyAlignment="1">
      <alignment horizontal="center" vertical="center"/>
    </xf>
    <xf numFmtId="0" fontId="63" fillId="38" borderId="32" xfId="0" applyFont="1" applyFill="1" applyBorder="1" applyAlignment="1" applyProtection="1">
      <alignment horizontal="center" vertical="center"/>
      <protection hidden="1"/>
    </xf>
    <xf numFmtId="0" fontId="64" fillId="38" borderId="30" xfId="0" applyFont="1" applyFill="1" applyBorder="1" applyAlignment="1" applyProtection="1">
      <alignment horizontal="center" vertical="center"/>
      <protection hidden="1"/>
    </xf>
    <xf numFmtId="0" fontId="64" fillId="38" borderId="33" xfId="0" applyFont="1" applyFill="1" applyBorder="1" applyAlignment="1" applyProtection="1">
      <alignment horizontal="center" vertical="center"/>
      <protection hidden="1"/>
    </xf>
    <xf numFmtId="0" fontId="64" fillId="38" borderId="28" xfId="0" applyFont="1" applyFill="1" applyBorder="1" applyAlignment="1" applyProtection="1">
      <alignment horizontal="center" vertical="center"/>
      <protection hidden="1"/>
    </xf>
    <xf numFmtId="0" fontId="64" fillId="38" borderId="0" xfId="0" applyFont="1" applyFill="1" applyBorder="1" applyAlignment="1" applyProtection="1">
      <alignment horizontal="center" vertical="center"/>
      <protection hidden="1"/>
    </xf>
    <xf numFmtId="0" fontId="64" fillId="38" borderId="34" xfId="0" applyFont="1" applyFill="1" applyBorder="1" applyAlignment="1" applyProtection="1">
      <alignment horizontal="center" vertical="center"/>
      <protection hidden="1"/>
    </xf>
    <xf numFmtId="0" fontId="64" fillId="38" borderId="35" xfId="0" applyFont="1" applyFill="1" applyBorder="1" applyAlignment="1" applyProtection="1">
      <alignment horizontal="center" vertical="center"/>
      <protection hidden="1"/>
    </xf>
    <xf numFmtId="0" fontId="64" fillId="38" borderId="29" xfId="0" applyFont="1" applyFill="1" applyBorder="1" applyAlignment="1" applyProtection="1">
      <alignment horizontal="center" vertical="center"/>
      <protection hidden="1"/>
    </xf>
    <xf numFmtId="0" fontId="64" fillId="38" borderId="31" xfId="0" applyFont="1" applyFill="1" applyBorder="1" applyAlignment="1" applyProtection="1">
      <alignment horizontal="center" vertical="center"/>
      <protection hidden="1"/>
    </xf>
    <xf numFmtId="0" fontId="58" fillId="34" borderId="36" xfId="0" applyFont="1" applyFill="1" applyBorder="1" applyAlignment="1" applyProtection="1">
      <alignment horizontal="center" vertical="center"/>
      <protection hidden="1"/>
    </xf>
    <xf numFmtId="0" fontId="58" fillId="34" borderId="37" xfId="0" applyFont="1" applyFill="1" applyBorder="1" applyAlignment="1" applyProtection="1">
      <alignment horizontal="center" vertical="center"/>
      <protection hidden="1"/>
    </xf>
    <xf numFmtId="0" fontId="58" fillId="0" borderId="30" xfId="0" applyFont="1" applyFill="1" applyBorder="1" applyAlignment="1" applyProtection="1">
      <alignment horizontal="center" vertical="center"/>
      <protection hidden="1"/>
    </xf>
    <xf numFmtId="0" fontId="58" fillId="0" borderId="0" xfId="0" applyFont="1" applyFill="1" applyBorder="1" applyAlignment="1" applyProtection="1">
      <alignment horizontal="center" vertical="center"/>
      <protection hidden="1"/>
    </xf>
    <xf numFmtId="16" fontId="58" fillId="0" borderId="30" xfId="0" applyNumberFormat="1" applyFont="1" applyFill="1" applyBorder="1" applyAlignment="1" applyProtection="1">
      <alignment horizontal="center" vertical="center"/>
      <protection hidden="1"/>
    </xf>
    <xf numFmtId="0" fontId="51" fillId="35" borderId="12" xfId="0" applyFont="1" applyFill="1" applyBorder="1" applyAlignment="1" applyProtection="1">
      <alignment horizontal="center" vertical="center"/>
      <protection hidden="1"/>
    </xf>
    <xf numFmtId="0" fontId="40" fillId="41" borderId="38" xfId="0" applyFont="1" applyFill="1" applyBorder="1" applyAlignment="1" applyProtection="1">
      <alignment horizontal="center" vertical="center" wrapText="1"/>
      <protection hidden="1"/>
    </xf>
    <xf numFmtId="0" fontId="40" fillId="41" borderId="39" xfId="0" applyFont="1" applyFill="1" applyBorder="1" applyAlignment="1" applyProtection="1">
      <alignment horizontal="center" vertical="center" wrapText="1"/>
      <protection hidden="1"/>
    </xf>
    <xf numFmtId="0" fontId="40" fillId="41" borderId="40" xfId="0" applyFont="1" applyFill="1" applyBorder="1" applyAlignment="1" applyProtection="1">
      <alignment horizontal="center" vertical="center" wrapText="1"/>
      <protection hidden="1"/>
    </xf>
    <xf numFmtId="0" fontId="51" fillId="35" borderId="11" xfId="0" applyFont="1" applyFill="1" applyBorder="1" applyAlignment="1" applyProtection="1">
      <alignment horizontal="center"/>
      <protection hidden="1"/>
    </xf>
    <xf numFmtId="0" fontId="51" fillId="35" borderId="10" xfId="0" applyFont="1" applyFill="1" applyBorder="1" applyAlignment="1" applyProtection="1">
      <alignment horizontal="center"/>
      <protection hidden="1"/>
    </xf>
    <xf numFmtId="0" fontId="56" fillId="37" borderId="10" xfId="0" applyFont="1" applyFill="1" applyBorder="1" applyAlignment="1">
      <alignment horizontal="center" vertical="center"/>
    </xf>
    <xf numFmtId="0" fontId="55" fillId="34" borderId="16" xfId="0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0" fontId="55" fillId="34" borderId="18" xfId="0" applyFont="1" applyFill="1" applyBorder="1" applyAlignment="1">
      <alignment horizontal="center" vertical="center"/>
    </xf>
    <xf numFmtId="0" fontId="56" fillId="37" borderId="16" xfId="0" applyFont="1" applyFill="1" applyBorder="1" applyAlignment="1">
      <alignment horizontal="center" vertical="center"/>
    </xf>
    <xf numFmtId="0" fontId="56" fillId="37" borderId="18" xfId="0" applyFont="1" applyFill="1" applyBorder="1" applyAlignment="1">
      <alignment horizontal="center" vertical="center"/>
    </xf>
    <xf numFmtId="1" fontId="65" fillId="38" borderId="0" xfId="0" applyNumberFormat="1" applyFont="1" applyFill="1" applyAlignment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Currency 3" xfId="48"/>
    <cellStyle name="Currency 4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Moneda 2" xfId="58"/>
    <cellStyle name="Neutral" xfId="59"/>
    <cellStyle name="Normal 14 3" xfId="60"/>
    <cellStyle name="Normal 2" xfId="61"/>
    <cellStyle name="Normal 3" xfId="62"/>
    <cellStyle name="Normal 4" xfId="63"/>
    <cellStyle name="Normal 5" xfId="64"/>
    <cellStyle name="Note" xfId="65"/>
    <cellStyle name="Output" xfId="66"/>
    <cellStyle name="Percent" xfId="67"/>
    <cellStyle name="Percent 2" xfId="68"/>
    <cellStyle name="Percent 3" xfId="69"/>
    <cellStyle name="Percent 4" xfId="70"/>
    <cellStyle name="Title" xfId="71"/>
    <cellStyle name="Total" xfId="72"/>
    <cellStyle name="Warning Text" xfId="73"/>
  </cellStyles>
  <dxfs count="21">
    <dxf>
      <font>
        <b/>
        <i val="0"/>
        <color theme="1"/>
      </font>
      <fill>
        <patternFill>
          <bgColor theme="0" tint="-0.24993999302387238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theme="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9"/>
        </patternFill>
      </fill>
      <border>
        <left style="thin"/>
        <right style="thin"/>
        <top style="thin"/>
        <bottom style="thin"/>
      </border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auto="1"/>
      </font>
      <fill>
        <patternFill>
          <bgColor theme="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theme="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theme="0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theme="1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theme="3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theme="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theme="6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theme="7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theme="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Calendar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15</xdr:col>
      <xdr:colOff>1914525</xdr:colOff>
      <xdr:row>4</xdr:row>
      <xdr:rowOff>114300</xdr:rowOff>
    </xdr:to>
    <xdr:pic>
      <xdr:nvPicPr>
        <xdr:cNvPr id="1" name="Picture 6" descr="Banner- Seasonal Diet Formulation.jpg"/>
        <xdr:cNvPicPr preferRelativeResize="1">
          <a:picLocks noChangeAspect="1"/>
        </xdr:cNvPicPr>
      </xdr:nvPicPr>
      <xdr:blipFill>
        <a:blip r:embed="rId1"/>
        <a:srcRect t="2096"/>
        <a:stretch>
          <a:fillRect/>
        </a:stretch>
      </xdr:blipFill>
      <xdr:spPr>
        <a:xfrm>
          <a:off x="9525" y="0"/>
          <a:ext cx="55340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1219200</xdr:colOff>
      <xdr:row>32</xdr:row>
      <xdr:rowOff>104775</xdr:rowOff>
    </xdr:from>
    <xdr:to>
      <xdr:col>16</xdr:col>
      <xdr:colOff>2286000</xdr:colOff>
      <xdr:row>44</xdr:row>
      <xdr:rowOff>114300</xdr:rowOff>
    </xdr:to>
    <xdr:sp macro="[0]!GetDates">
      <xdr:nvSpPr>
        <xdr:cNvPr id="2" name="Rounded Rectangle 4">
          <a:hlinkClick r:id="rId2"/>
        </xdr:cNvPr>
        <xdr:cNvSpPr>
          <a:spLocks/>
        </xdr:cNvSpPr>
      </xdr:nvSpPr>
      <xdr:spPr>
        <a:xfrm>
          <a:off x="7191375" y="4210050"/>
          <a:ext cx="1066800" cy="466725"/>
        </a:xfrm>
        <a:prstGeom prst="roundRect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Go to Calendar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13</xdr:col>
      <xdr:colOff>247650</xdr:colOff>
      <xdr:row>0</xdr:row>
      <xdr:rowOff>809625</xdr:rowOff>
    </xdr:to>
    <xdr:pic>
      <xdr:nvPicPr>
        <xdr:cNvPr id="1" name="Picture 1" descr="Banner- Seasonal Diet Formulation.jpg"/>
        <xdr:cNvPicPr preferRelativeResize="1">
          <a:picLocks noChangeAspect="1"/>
        </xdr:cNvPicPr>
      </xdr:nvPicPr>
      <xdr:blipFill>
        <a:blip r:embed="rId1"/>
        <a:srcRect t="2096"/>
        <a:stretch>
          <a:fillRect/>
        </a:stretch>
      </xdr:blipFill>
      <xdr:spPr>
        <a:xfrm>
          <a:off x="0" y="0"/>
          <a:ext cx="5572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12</xdr:row>
      <xdr:rowOff>85725</xdr:rowOff>
    </xdr:from>
    <xdr:to>
      <xdr:col>26</xdr:col>
      <xdr:colOff>9525</xdr:colOff>
      <xdr:row>15</xdr:row>
      <xdr:rowOff>28575</xdr:rowOff>
    </xdr:to>
    <xdr:sp macro="[0]!CreateSchedule">
      <xdr:nvSpPr>
        <xdr:cNvPr id="2" name="Rounded Rectangle 2"/>
        <xdr:cNvSpPr>
          <a:spLocks/>
        </xdr:cNvSpPr>
      </xdr:nvSpPr>
      <xdr:spPr>
        <a:xfrm>
          <a:off x="8677275" y="2686050"/>
          <a:ext cx="2390775" cy="428625"/>
        </a:xfrm>
        <a:prstGeom prst="roundRect">
          <a:avLst/>
        </a:prstGeom>
        <a:solidFill>
          <a:srgbClr val="A6A6A6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Create Schedule in Outlook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1"/>
  <sheetViews>
    <sheetView showGridLines="0" showRowColHeaders="0" tabSelected="1" zoomScalePageLayoutView="0" workbookViewId="0" topLeftCell="A1">
      <selection activeCell="E17" sqref="E17"/>
    </sheetView>
  </sheetViews>
  <sheetFormatPr defaultColWidth="8.8515625" defaultRowHeight="15"/>
  <cols>
    <col min="1" max="2" width="17.140625" style="63" customWidth="1"/>
    <col min="3" max="3" width="15.140625" style="63" hidden="1" customWidth="1"/>
    <col min="4" max="4" width="8.28125" style="63" bestFit="1" customWidth="1"/>
    <col min="5" max="5" width="11.8515625" style="63" customWidth="1"/>
    <col min="6" max="6" width="7.8515625" style="63" hidden="1" customWidth="1"/>
    <col min="7" max="7" width="6.421875" style="63" hidden="1" customWidth="1"/>
    <col min="8" max="9" width="8.8515625" style="63" hidden="1" customWidth="1"/>
    <col min="10" max="10" width="8.421875" style="63" hidden="1" customWidth="1"/>
    <col min="11" max="11" width="9.140625" style="63" hidden="1" customWidth="1"/>
    <col min="12" max="12" width="7.8515625" style="63" hidden="1" customWidth="1"/>
    <col min="13" max="13" width="9.421875" style="63" hidden="1" customWidth="1"/>
    <col min="14" max="15" width="9.8515625" style="63" hidden="1" customWidth="1"/>
    <col min="16" max="17" width="35.140625" style="63" customWidth="1"/>
    <col min="18" max="16384" width="8.8515625" style="63" customWidth="1"/>
  </cols>
  <sheetData>
    <row r="1" spans="1:17" ht="11.25">
      <c r="A1" s="111"/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3"/>
    </row>
    <row r="2" spans="1:17" ht="20.25" customHeight="1">
      <c r="A2" s="114"/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6"/>
    </row>
    <row r="3" spans="1:17" ht="11.25">
      <c r="A3" s="114"/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6"/>
    </row>
    <row r="4" spans="1:17" ht="11.25">
      <c r="A4" s="114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6"/>
    </row>
    <row r="5" spans="1:17" ht="12" thickBot="1">
      <c r="A5" s="117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9"/>
    </row>
    <row r="6" spans="1:20" ht="6.75" customHeight="1" thickBot="1">
      <c r="A6" s="64"/>
      <c r="B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T6" s="65"/>
    </row>
    <row r="7" spans="1:17" ht="28.5" customHeight="1" thickBot="1">
      <c r="A7" s="120" t="s">
        <v>53</v>
      </c>
      <c r="B7" s="121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6" t="s">
        <v>17</v>
      </c>
      <c r="Q7" s="98" t="s">
        <v>37</v>
      </c>
    </row>
    <row r="8" spans="1:17" ht="28.5" customHeight="1" thickBot="1">
      <c r="A8" s="99">
        <v>43252</v>
      </c>
      <c r="B8" s="100">
        <v>43344</v>
      </c>
      <c r="D8" s="64"/>
      <c r="E8" s="67"/>
      <c r="F8" s="64"/>
      <c r="G8" s="64"/>
      <c r="H8" s="64"/>
      <c r="I8" s="64"/>
      <c r="J8" s="64"/>
      <c r="K8" s="64"/>
      <c r="L8" s="64"/>
      <c r="M8" s="64"/>
      <c r="N8" s="64"/>
      <c r="O8" s="64"/>
      <c r="P8" s="66" t="s">
        <v>40</v>
      </c>
      <c r="Q8" s="98" t="s">
        <v>4</v>
      </c>
    </row>
    <row r="9" spans="1:17" ht="20.25" customHeight="1" thickBot="1">
      <c r="A9" s="91" t="s">
        <v>6</v>
      </c>
      <c r="B9" s="91" t="s">
        <v>61</v>
      </c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</row>
    <row r="10" spans="2:17" ht="12">
      <c r="B10" s="84"/>
      <c r="C10" s="122" t="s">
        <v>40</v>
      </c>
      <c r="D10" s="122" t="s">
        <v>59</v>
      </c>
      <c r="E10" s="122"/>
      <c r="F10" s="84"/>
      <c r="G10" s="84"/>
      <c r="H10" s="122" t="str">
        <f>A27</f>
        <v>High constraints</v>
      </c>
      <c r="I10" s="122"/>
      <c r="J10" s="122" t="str">
        <f>A26</f>
        <v>Normal</v>
      </c>
      <c r="K10" s="122"/>
      <c r="L10" s="122" t="str">
        <f>A25</f>
        <v>Low constraints</v>
      </c>
      <c r="M10" s="122"/>
      <c r="N10" s="124" t="str">
        <f>Q7</f>
        <v>Low constraints</v>
      </c>
      <c r="O10" s="122"/>
      <c r="P10" s="122" t="s">
        <v>15</v>
      </c>
      <c r="Q10" s="122"/>
    </row>
    <row r="11" spans="1:17" ht="16.5" customHeight="1" thickBot="1">
      <c r="A11" s="65"/>
      <c r="B11" s="85" t="s">
        <v>5</v>
      </c>
      <c r="C11" s="123"/>
      <c r="D11" s="86" t="s">
        <v>56</v>
      </c>
      <c r="E11" s="86" t="s">
        <v>57</v>
      </c>
      <c r="F11" s="86" t="s">
        <v>9</v>
      </c>
      <c r="G11" s="86" t="s">
        <v>10</v>
      </c>
      <c r="H11" s="86" t="s">
        <v>11</v>
      </c>
      <c r="I11" s="86" t="s">
        <v>14</v>
      </c>
      <c r="J11" s="86" t="s">
        <v>11</v>
      </c>
      <c r="K11" s="86" t="s">
        <v>14</v>
      </c>
      <c r="L11" s="86" t="s">
        <v>11</v>
      </c>
      <c r="M11" s="86" t="s">
        <v>14</v>
      </c>
      <c r="N11" s="86" t="s">
        <v>11</v>
      </c>
      <c r="O11" s="86" t="s">
        <v>14</v>
      </c>
      <c r="P11" s="86" t="s">
        <v>6</v>
      </c>
      <c r="Q11" s="86" t="s">
        <v>62</v>
      </c>
    </row>
    <row r="12" spans="2:17" ht="12">
      <c r="B12" s="87">
        <f>IF(Q8&gt;0,1," ")</f>
        <v>1</v>
      </c>
      <c r="C12" s="74"/>
      <c r="D12" s="93">
        <v>10</v>
      </c>
      <c r="E12" s="93">
        <v>16</v>
      </c>
      <c r="F12" s="75" t="e">
        <f>IF(Q8&gt;0,(IF($Q8=$A$22,VLOOKUP(D36,'GC'!$C$5:$E$187,3),IF($Q8=$A$23,VLOOKUP(D36,'GC'!$B$5:$E$187,4),IF($Q8=$A$24,VLOOKUP(D36,'GC'!$D$5:$E$187,2)))))," ")</f>
        <v>#N/A</v>
      </c>
      <c r="G12" s="75">
        <f>IF(Q8&gt;0,(IF($Q8=$A$22,VLOOKUP(E36,'GC'!$C$5:$E$187,3),IF($Q8=$A$23,VLOOKUP(E36,'GC'!$B$5:$E$187,4),IF($Q8=$A$24,VLOOKUP(E36,'GC'!$D$5:$E$187,2)))))," ")</f>
        <v>27</v>
      </c>
      <c r="H12" s="76" t="e">
        <f>IF(Q8&gt;0,(J12*1.03)," ")</f>
        <v>#N/A</v>
      </c>
      <c r="I12" s="77" t="e">
        <f>IF(Q8&gt;0,H12," ")</f>
        <v>#N/A</v>
      </c>
      <c r="J12" s="77" t="e">
        <f>IF(Q8&gt;0,((G12-F12)/7)," ")</f>
        <v>#N/A</v>
      </c>
      <c r="K12" s="77" t="e">
        <f>IF(Q8&gt;0,J12," ")</f>
        <v>#N/A</v>
      </c>
      <c r="L12" s="76" t="e">
        <f>IF(Q8&gt;0,(J12*0.93)," ")</f>
        <v>#N/A</v>
      </c>
      <c r="M12" s="77" t="e">
        <f>IF(Q8&gt;0,L12," ")</f>
        <v>#N/A</v>
      </c>
      <c r="N12" s="76" t="e">
        <f>IF($N$10=$A$27,H12,IF($N$10=$A$26,J12,IF($N$10=$A$25,L12)))</f>
        <v>#N/A</v>
      </c>
      <c r="O12" s="77" t="e">
        <f>IF(Q8&gt;0,N12," ")</f>
        <v>#N/A</v>
      </c>
      <c r="P12" s="78" t="str">
        <f>IF(Q8&gt;0,(IF(AND(D36&lt;22.5,E36&lt;26),"Don't change",($A$8-((1+SUM(N12:$N$20))*7))))," ")</f>
        <v>Don't change</v>
      </c>
      <c r="Q12" s="78" t="str">
        <f>IF(Q8&gt;0,(IF(P12="Don't change","Don't change",($B$8-((1+SUM($N12:N$20))*7))))," ")</f>
        <v>Don't change</v>
      </c>
    </row>
    <row r="13" spans="2:17" ht="12">
      <c r="B13" s="87">
        <f aca="true" t="shared" si="0" ref="B13:B18">IF(C13&gt;0,(B12+1)," ")</f>
        <v>2</v>
      </c>
      <c r="C13" s="79" t="str">
        <f aca="true" t="shared" si="1" ref="C13:C18">IF(E37=0,,$Q$8)</f>
        <v>Barrows + Gilts</v>
      </c>
      <c r="D13" s="75">
        <f>IF(C13&gt;0,E12," ")</f>
        <v>16</v>
      </c>
      <c r="E13" s="94">
        <v>20</v>
      </c>
      <c r="F13" s="75">
        <f>IF(C13&gt;0,(IF($C13=$A$22,VLOOKUP(D37,'GC'!$C$5:$E$187,3),IF($C13=$A$23,VLOOKUP(D37,'GC'!$B$5:$E$187,4),IF($C13=$A$24,VLOOKUP(D37,'GC'!$D$5:$E$187,2)))))," ")</f>
        <v>27</v>
      </c>
      <c r="G13" s="75">
        <f>IF(C13&gt;0,(IF($C13=$A$22,VLOOKUP(E37,'GC'!$C$5:$E$187,3),IF($C13=$A$23,VLOOKUP(E37,'GC'!$B$5:$E$187,4),IF($C13=$A$24,VLOOKUP(E37,'GC'!$D$5:$E$187,2)))))," ")</f>
        <v>33</v>
      </c>
      <c r="H13" s="76">
        <f aca="true" t="shared" si="2" ref="H13:H20">IF(C13&gt;0,(J13*1.03)," ")</f>
        <v>0.8828571428571428</v>
      </c>
      <c r="I13" s="77" t="e">
        <f aca="true" t="shared" si="3" ref="I13:I20">IF(C13&gt;0,I12+H13," ")</f>
        <v>#N/A</v>
      </c>
      <c r="J13" s="77">
        <f aca="true" t="shared" si="4" ref="J13:J20">IF(C13&gt;0,((G13-F13)/7)," ")</f>
        <v>0.8571428571428571</v>
      </c>
      <c r="K13" s="77" t="e">
        <f aca="true" t="shared" si="5" ref="K13:K20">IF(C13&gt;0,K12+J13," ")</f>
        <v>#N/A</v>
      </c>
      <c r="L13" s="76">
        <f aca="true" t="shared" si="6" ref="L13:L20">IF(C13&gt;0,(J13*0.93)," ")</f>
        <v>0.7971428571428572</v>
      </c>
      <c r="M13" s="77" t="e">
        <f aca="true" t="shared" si="7" ref="M13:M20">IF(C13&gt;0,M12+L13," ")</f>
        <v>#N/A</v>
      </c>
      <c r="N13" s="76">
        <f aca="true" t="shared" si="8" ref="N13:N20">IF($N$10=$A$27,H13,IF($N$10=$A$26,J13,IF($N$10=$A$25,L13)))</f>
        <v>0.7971428571428572</v>
      </c>
      <c r="O13" s="77" t="e">
        <f aca="true" t="shared" si="9" ref="O13:O20">IF(C13&gt;0,(O12+N13)," ")</f>
        <v>#N/A</v>
      </c>
      <c r="P13" s="78" t="str">
        <f>IF(C13&gt;0,(IF(AND(D13&lt;22.5,E37&lt;26),"Don't change",($A$8-((1+SUM(N13:$N$20))*7))))," ")</f>
        <v>Don't change</v>
      </c>
      <c r="Q13" s="78" t="str">
        <f>IF(C13&gt;0,(IF(P13="Don't change","Don't change",($B$8-((1+SUM($N13:N$20))*7))))," ")</f>
        <v>Don't change</v>
      </c>
    </row>
    <row r="14" spans="2:18" ht="12">
      <c r="B14" s="87">
        <f t="shared" si="0"/>
        <v>3</v>
      </c>
      <c r="C14" s="79" t="str">
        <f t="shared" si="1"/>
        <v>Barrows + Gilts</v>
      </c>
      <c r="D14" s="75">
        <f aca="true" t="shared" si="10" ref="D14:D20">IF(C14&gt;0,E13," ")</f>
        <v>20</v>
      </c>
      <c r="E14" s="94">
        <v>25</v>
      </c>
      <c r="F14" s="75">
        <f>IF(C14&gt;0,(IF($C14=$A$22,VLOOKUP(D38,'GC'!$C$5:$E$187,3),IF($C14=$A$23,VLOOKUP(D38,'GC'!$B$5:$E$187,4),IF($C14=$A$24,VLOOKUP(D38,'GC'!$D$5:$E$187,2)))))," ")</f>
        <v>33</v>
      </c>
      <c r="G14" s="75">
        <f>IF(C14&gt;0,(IF($C14=$A$22,VLOOKUP(E38,'GC'!$C$5:$E$187,3),IF($C14=$A$23,VLOOKUP(E38,'GC'!$B$5:$E$187,4),IF($C14=$A$24,VLOOKUP(E38,'GC'!$D$5:$E$187,2)))))," ")</f>
        <v>39</v>
      </c>
      <c r="H14" s="76">
        <f t="shared" si="2"/>
        <v>0.8828571428571428</v>
      </c>
      <c r="I14" s="77" t="e">
        <f t="shared" si="3"/>
        <v>#N/A</v>
      </c>
      <c r="J14" s="77">
        <f t="shared" si="4"/>
        <v>0.8571428571428571</v>
      </c>
      <c r="K14" s="77" t="e">
        <f t="shared" si="5"/>
        <v>#N/A</v>
      </c>
      <c r="L14" s="76">
        <f t="shared" si="6"/>
        <v>0.7971428571428572</v>
      </c>
      <c r="M14" s="77" t="e">
        <f t="shared" si="7"/>
        <v>#N/A</v>
      </c>
      <c r="N14" s="76">
        <f t="shared" si="8"/>
        <v>0.7971428571428572</v>
      </c>
      <c r="O14" s="77" t="e">
        <f t="shared" si="9"/>
        <v>#N/A</v>
      </c>
      <c r="P14" s="78" t="str">
        <f>IF(C14&gt;0,(IF(AND(D38&lt;22.5,E38&lt;26),"Don't change",($A$8-((1+SUM(N14:$N$20))*7))))," ")</f>
        <v>Don't change</v>
      </c>
      <c r="Q14" s="78" t="str">
        <f>IF(C14&gt;0,(IF(P14="Don't change","Don't change",($B$8-((1+SUM($N14:N$20))*7))))," ")</f>
        <v>Don't change</v>
      </c>
      <c r="R14" s="65"/>
    </row>
    <row r="15" spans="2:17" ht="12">
      <c r="B15" s="87">
        <f t="shared" si="0"/>
        <v>4</v>
      </c>
      <c r="C15" s="79" t="str">
        <f t="shared" si="1"/>
        <v>Barrows + Gilts</v>
      </c>
      <c r="D15" s="75">
        <f t="shared" si="10"/>
        <v>25</v>
      </c>
      <c r="E15" s="94">
        <v>55</v>
      </c>
      <c r="F15" s="75">
        <f>IF(C15&gt;0,(IF($C15=$A$22,VLOOKUP(D39,'GC'!$C$5:$E$187,3),IF($C15=$A$23,VLOOKUP(D39,'GC'!$B$5:$E$187,4),IF($C15=$A$24,VLOOKUP(D39,'GC'!$D$5:$E$187,2)))))," ")</f>
        <v>39</v>
      </c>
      <c r="G15" s="75">
        <f>IF(C15&gt;0,(IF($C15=$A$22,VLOOKUP(E39,'GC'!$C$5:$E$187,3),IF($C15=$A$23,VLOOKUP(E39,'GC'!$B$5:$E$187,4),IF($C15=$A$24,VLOOKUP(E39,'GC'!$D$5:$E$187,2)))))," ")</f>
        <v>65</v>
      </c>
      <c r="H15" s="76">
        <f t="shared" si="2"/>
        <v>3.825714285714286</v>
      </c>
      <c r="I15" s="77" t="e">
        <f t="shared" si="3"/>
        <v>#N/A</v>
      </c>
      <c r="J15" s="77">
        <f t="shared" si="4"/>
        <v>3.7142857142857144</v>
      </c>
      <c r="K15" s="77" t="e">
        <f t="shared" si="5"/>
        <v>#N/A</v>
      </c>
      <c r="L15" s="76">
        <f t="shared" si="6"/>
        <v>3.4542857142857146</v>
      </c>
      <c r="M15" s="77" t="e">
        <f t="shared" si="7"/>
        <v>#N/A</v>
      </c>
      <c r="N15" s="76">
        <f t="shared" si="8"/>
        <v>3.4542857142857146</v>
      </c>
      <c r="O15" s="77" t="e">
        <f t="shared" si="9"/>
        <v>#N/A</v>
      </c>
      <c r="P15" s="96" t="str">
        <f>IF(C15&gt;0,(IF(AND(D39&lt;22.5,E39&lt;26),"Don't change",($A$8-((1+SUM(N15:$N$20))*7))))," ")</f>
        <v>Don't change</v>
      </c>
      <c r="Q15" s="96" t="str">
        <f>IF(C15&gt;0,(IF(P15="Don't change","Don't change",($B$8-((1+SUM($N15:N$20))*7))))," ")</f>
        <v>Don't change</v>
      </c>
    </row>
    <row r="16" spans="2:17" ht="12">
      <c r="B16" s="87">
        <f t="shared" si="0"/>
        <v>5</v>
      </c>
      <c r="C16" s="79" t="str">
        <f t="shared" si="1"/>
        <v>Barrows + Gilts</v>
      </c>
      <c r="D16" s="75">
        <f t="shared" si="10"/>
        <v>55</v>
      </c>
      <c r="E16" s="94">
        <v>70</v>
      </c>
      <c r="F16" s="75">
        <f>IF(C16&gt;0,(IF($C16=$A$22,VLOOKUP(D40,'GC'!$C$5:$E$187,3),IF($C16=$A$23,VLOOKUP(D40,'GC'!$B$5:$E$187,4),IF($C16=$A$24,VLOOKUP(D40,'GC'!$D$5:$E$187,2)))))," ")</f>
        <v>65</v>
      </c>
      <c r="G16" s="75">
        <f>IF(C16&gt;0,(IF($C16=$A$22,VLOOKUP(E40,'GC'!$C$5:$E$187,3),IF($C16=$A$23,VLOOKUP(E40,'GC'!$B$5:$E$187,4),IF($C16=$A$24,VLOOKUP(E40,'GC'!$D$5:$E$187,2)))))," ")</f>
        <v>74</v>
      </c>
      <c r="H16" s="76">
        <f t="shared" si="2"/>
        <v>1.3242857142857145</v>
      </c>
      <c r="I16" s="77" t="e">
        <f t="shared" si="3"/>
        <v>#N/A</v>
      </c>
      <c r="J16" s="77">
        <f t="shared" si="4"/>
        <v>1.2857142857142858</v>
      </c>
      <c r="K16" s="77" t="e">
        <f t="shared" si="5"/>
        <v>#N/A</v>
      </c>
      <c r="L16" s="76">
        <f t="shared" si="6"/>
        <v>1.195714285714286</v>
      </c>
      <c r="M16" s="77" t="e">
        <f t="shared" si="7"/>
        <v>#N/A</v>
      </c>
      <c r="N16" s="76">
        <f t="shared" si="8"/>
        <v>1.195714285714286</v>
      </c>
      <c r="O16" s="77" t="e">
        <f t="shared" si="9"/>
        <v>#N/A</v>
      </c>
      <c r="P16" s="96">
        <f>IF(C16&gt;0,(IF(AND(D40&lt;22.5,E40&lt;26),"Don't change",($A$8-((1+SUM(N16:$N$20))*7))))," ")</f>
        <v>43137.12</v>
      </c>
      <c r="Q16" s="96">
        <f>IF(C16&gt;0,(IF(P16="Don't change","Don't change",($B$8-((1+SUM($N16:N$20))*7))))," ")</f>
        <v>43229.12</v>
      </c>
    </row>
    <row r="17" spans="2:17" ht="12">
      <c r="B17" s="87">
        <f t="shared" si="0"/>
        <v>6</v>
      </c>
      <c r="C17" s="79" t="str">
        <f t="shared" si="1"/>
        <v>Barrows + Gilts</v>
      </c>
      <c r="D17" s="75">
        <f t="shared" si="10"/>
        <v>70</v>
      </c>
      <c r="E17" s="94">
        <v>142</v>
      </c>
      <c r="F17" s="75">
        <f>IF(C17&gt;0,(IF($C17=$A$22,VLOOKUP(D41,'GC'!$C$5:$E$187,3),IF($C17=$A$23,VLOOKUP(D41,'GC'!$B$5:$E$187,4),IF($C17=$A$24,VLOOKUP(D41,'GC'!$D$5:$E$187,2)))))," ")</f>
        <v>74</v>
      </c>
      <c r="G17" s="75">
        <f>IF(C17&gt;0,(IF($C17=$A$22,VLOOKUP(E41,'GC'!$C$5:$E$187,3),IF($C17=$A$23,VLOOKUP(E41,'GC'!$B$5:$E$187,4),IF($C17=$A$24,VLOOKUP(E41,'GC'!$D$5:$E$187,2)))))," ")</f>
        <v>110</v>
      </c>
      <c r="H17" s="76">
        <f t="shared" si="2"/>
        <v>5.297142857142858</v>
      </c>
      <c r="I17" s="77" t="e">
        <f t="shared" si="3"/>
        <v>#N/A</v>
      </c>
      <c r="J17" s="77">
        <f t="shared" si="4"/>
        <v>5.142857142857143</v>
      </c>
      <c r="K17" s="77" t="e">
        <f t="shared" si="5"/>
        <v>#N/A</v>
      </c>
      <c r="L17" s="76">
        <f t="shared" si="6"/>
        <v>4.782857142857144</v>
      </c>
      <c r="M17" s="77" t="e">
        <f t="shared" si="7"/>
        <v>#N/A</v>
      </c>
      <c r="N17" s="76">
        <f t="shared" si="8"/>
        <v>4.782857142857144</v>
      </c>
      <c r="O17" s="77" t="e">
        <f t="shared" si="9"/>
        <v>#N/A</v>
      </c>
      <c r="P17" s="96">
        <f>IF(C17&gt;0,(IF(AND(D41&lt;22.5,E41&lt;26),"Don't change",($A$8-((1+SUM(N17:$N$20))*7))))," ")</f>
        <v>43145.49</v>
      </c>
      <c r="Q17" s="96">
        <f>IF(C17&gt;0,(IF(P17="Don't change","Don't change",($B$8-((1+SUM($N17:N$20))*7))))," ")</f>
        <v>43237.49</v>
      </c>
    </row>
    <row r="18" spans="2:17" ht="12">
      <c r="B18" s="87">
        <f t="shared" si="0"/>
        <v>7</v>
      </c>
      <c r="C18" s="79" t="str">
        <f t="shared" si="1"/>
        <v>Barrows + Gilts</v>
      </c>
      <c r="D18" s="75">
        <f t="shared" si="10"/>
        <v>142</v>
      </c>
      <c r="E18" s="94">
        <v>185</v>
      </c>
      <c r="F18" s="75">
        <f>IF(C18&gt;0,(IF($C18=$A$22,VLOOKUP(D42,'GC'!$C$5:$E$187,3),IF($C18=$A$23,VLOOKUP(D42,'GC'!$B$5:$E$187,4),IF($C18=$A$24,VLOOKUP(D42,'GC'!$D$5:$E$187,2)))))," ")</f>
        <v>110</v>
      </c>
      <c r="G18" s="75">
        <f>IF(C18&gt;0,(IF($C18=$A$22,VLOOKUP(E42,'GC'!$C$5:$E$187,3),IF($C18=$A$23,VLOOKUP(E42,'GC'!$B$5:$E$187,4),IF($C18=$A$24,VLOOKUP(E42,'GC'!$D$5:$E$187,2)))))," ")</f>
        <v>130</v>
      </c>
      <c r="H18" s="76">
        <f t="shared" si="2"/>
        <v>2.942857142857143</v>
      </c>
      <c r="I18" s="77" t="e">
        <f t="shared" si="3"/>
        <v>#N/A</v>
      </c>
      <c r="J18" s="77">
        <f t="shared" si="4"/>
        <v>2.857142857142857</v>
      </c>
      <c r="K18" s="77" t="e">
        <f t="shared" si="5"/>
        <v>#N/A</v>
      </c>
      <c r="L18" s="76">
        <f t="shared" si="6"/>
        <v>2.6571428571428575</v>
      </c>
      <c r="M18" s="77" t="e">
        <f t="shared" si="7"/>
        <v>#N/A</v>
      </c>
      <c r="N18" s="76">
        <f t="shared" si="8"/>
        <v>2.6571428571428575</v>
      </c>
      <c r="O18" s="77" t="e">
        <f t="shared" si="9"/>
        <v>#N/A</v>
      </c>
      <c r="P18" s="96">
        <f>IF(C18&gt;0,(IF(AND(D42&lt;22.5,E42&lt;26),"Don't change",($A$8-((1+SUM(N18:$N$20))*7))))," ")</f>
        <v>43178.97</v>
      </c>
      <c r="Q18" s="96">
        <f>IF(C18&gt;0,(IF(P18="Don't change","Don't change",($B$8-((1+SUM($N18:N$20))*7))))," ")</f>
        <v>43270.97</v>
      </c>
    </row>
    <row r="19" spans="1:17" ht="12">
      <c r="A19" s="65"/>
      <c r="B19" s="87">
        <v>8</v>
      </c>
      <c r="C19" s="79" t="str">
        <f>IF(E19=0,,$Q$8)</f>
        <v>Barrows + Gilts</v>
      </c>
      <c r="D19" s="75">
        <f t="shared" si="10"/>
        <v>185</v>
      </c>
      <c r="E19" s="94">
        <v>235</v>
      </c>
      <c r="F19" s="75">
        <f>IF(C19&gt;0,(IF($C19=$A$22,VLOOKUP(D43,'GC'!$C$5:$E$187,3),IF($C19=$A$23,VLOOKUP(D43,'GC'!$B$5:$E$187,4),IF($C19=$A$24,VLOOKUP(D43,'GC'!$D$5:$E$187,2)))))," ")</f>
        <v>130</v>
      </c>
      <c r="G19" s="75">
        <f>IF(C19&gt;0,(IF($C19=$A$22,VLOOKUP(E43,'GC'!$C$5:$E$187,3),IF($C19=$A$23,VLOOKUP(E43,'GC'!$B$5:$E$187,4),IF($C19=$A$24,VLOOKUP(E43,'GC'!$D$5:$E$187,2)))))," ")</f>
        <v>154</v>
      </c>
      <c r="H19" s="76">
        <f t="shared" si="2"/>
        <v>3.531428571428571</v>
      </c>
      <c r="I19" s="77" t="e">
        <f t="shared" si="3"/>
        <v>#N/A</v>
      </c>
      <c r="J19" s="77">
        <f t="shared" si="4"/>
        <v>3.4285714285714284</v>
      </c>
      <c r="K19" s="77" t="e">
        <f t="shared" si="5"/>
        <v>#N/A</v>
      </c>
      <c r="L19" s="76">
        <f t="shared" si="6"/>
        <v>3.1885714285714286</v>
      </c>
      <c r="M19" s="77" t="e">
        <f t="shared" si="7"/>
        <v>#N/A</v>
      </c>
      <c r="N19" s="76">
        <f t="shared" si="8"/>
        <v>3.1885714285714286</v>
      </c>
      <c r="O19" s="77" t="e">
        <f t="shared" si="9"/>
        <v>#N/A</v>
      </c>
      <c r="P19" s="96">
        <f>IF(C19&gt;0,(IF(AND(D19&lt;22.5,E19&lt;26),"Don't change",($A$8-((1+SUM(N19:$N$20))*7))))," ")</f>
        <v>43197.57</v>
      </c>
      <c r="Q19" s="96">
        <f>IF(C19&gt;0,(IF(P19="Don't change","Don't change",($B$8-((1+SUM($N19:N$20))*7))))," ")</f>
        <v>43289.57</v>
      </c>
    </row>
    <row r="20" spans="2:17" ht="12.75" thickBot="1">
      <c r="B20" s="88">
        <v>9</v>
      </c>
      <c r="C20" s="80" t="str">
        <f>IF(E20=0,,$Q$8)</f>
        <v>Barrows + Gilts</v>
      </c>
      <c r="D20" s="82">
        <f t="shared" si="10"/>
        <v>235</v>
      </c>
      <c r="E20" s="95">
        <v>290</v>
      </c>
      <c r="F20" s="75">
        <f>IF(C20&gt;0,(IF($C20=$A$22,VLOOKUP(D44,'GC'!$C$5:$E$187,3),IF($C20=$A$23,VLOOKUP(D44,'GC'!$B$5:$E$187,4),IF($C20=$A$24,VLOOKUP(D44,'GC'!$D$5:$E$187,2)))))," ")</f>
        <v>154</v>
      </c>
      <c r="G20" s="75">
        <f>IF(C20&gt;0,(IF($C20=$A$22,VLOOKUP(E44,'GC'!$C$5:$E$187,3),IF($C20=$A$23,VLOOKUP(E44,'GC'!$B$5:$E$187,4),IF($C20=$A$24,VLOOKUP(E44,'GC'!$D$5:$E$187,2)))))," ")</f>
        <v>181</v>
      </c>
      <c r="H20" s="83">
        <f t="shared" si="2"/>
        <v>3.972857142857143</v>
      </c>
      <c r="I20" s="81" t="e">
        <f t="shared" si="3"/>
        <v>#N/A</v>
      </c>
      <c r="J20" s="81">
        <f t="shared" si="4"/>
        <v>3.857142857142857</v>
      </c>
      <c r="K20" s="81" t="e">
        <f t="shared" si="5"/>
        <v>#N/A</v>
      </c>
      <c r="L20" s="83">
        <f t="shared" si="6"/>
        <v>3.587142857142857</v>
      </c>
      <c r="M20" s="81" t="e">
        <f t="shared" si="7"/>
        <v>#N/A</v>
      </c>
      <c r="N20" s="83">
        <f t="shared" si="8"/>
        <v>3.587142857142857</v>
      </c>
      <c r="O20" s="81" t="e">
        <f t="shared" si="9"/>
        <v>#N/A</v>
      </c>
      <c r="P20" s="97">
        <f>IF(C20&gt;0,(IF(AND(D20&lt;22.5,E20&lt;25),"Don't change",($A$8-((1+SUM(N20:$N$20))*7))))," ")</f>
        <v>43219.89</v>
      </c>
      <c r="Q20" s="97">
        <f>IF(C20&gt;0,(IF(P20="Don't change","Don't change",($B$8-((1+SUM($N20:N$20))*7))))," ")</f>
        <v>43311.89</v>
      </c>
    </row>
    <row r="21" spans="1:17" ht="12">
      <c r="A21" s="64"/>
      <c r="B21" s="64"/>
      <c r="D21" s="64"/>
      <c r="E21" s="64"/>
      <c r="F21" s="64"/>
      <c r="G21" s="64"/>
      <c r="H21" s="69"/>
      <c r="I21" s="70"/>
      <c r="J21" s="71"/>
      <c r="K21" s="70"/>
      <c r="L21" s="71"/>
      <c r="M21" s="70"/>
      <c r="N21" s="71"/>
      <c r="O21" s="70"/>
      <c r="P21" s="64"/>
      <c r="Q21" s="64"/>
    </row>
    <row r="22" spans="1:17" ht="12" hidden="1">
      <c r="A22" s="72" t="s">
        <v>1</v>
      </c>
      <c r="B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</row>
    <row r="23" spans="1:17" ht="12" hidden="1">
      <c r="A23" s="72" t="s">
        <v>0</v>
      </c>
      <c r="B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</row>
    <row r="24" spans="1:17" ht="12" hidden="1">
      <c r="A24" s="72" t="s">
        <v>4</v>
      </c>
      <c r="B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</row>
    <row r="25" spans="1:17" ht="12" hidden="1">
      <c r="A25" s="64" t="s">
        <v>37</v>
      </c>
      <c r="B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</row>
    <row r="26" spans="1:17" ht="12" hidden="1">
      <c r="A26" s="64" t="s">
        <v>39</v>
      </c>
      <c r="B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7"/>
      <c r="Q26" s="64"/>
    </row>
    <row r="27" spans="1:17" ht="12" hidden="1">
      <c r="A27" s="64" t="s">
        <v>38</v>
      </c>
      <c r="B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7"/>
      <c r="Q27" s="64"/>
    </row>
    <row r="28" spans="1:17" ht="12" hidden="1">
      <c r="A28" s="64"/>
      <c r="B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7"/>
      <c r="Q28" s="64"/>
    </row>
    <row r="29" spans="1:17" ht="12" hidden="1">
      <c r="A29" s="64"/>
      <c r="B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</row>
    <row r="30" spans="1:17" ht="12" hidden="1">
      <c r="A30" s="73"/>
      <c r="B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1:17" ht="12">
      <c r="A31" s="64"/>
      <c r="B31" s="64" t="s">
        <v>54</v>
      </c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</row>
    <row r="32" spans="1:17" ht="12">
      <c r="A32" s="64"/>
      <c r="B32" s="64" t="s">
        <v>55</v>
      </c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</row>
    <row r="33" spans="1:17" ht="12">
      <c r="A33" s="64"/>
      <c r="B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1:17" ht="12">
      <c r="A34" s="64"/>
      <c r="B34" s="90" t="s">
        <v>60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</row>
    <row r="35" spans="1:17" ht="12">
      <c r="A35" s="64"/>
      <c r="B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</row>
    <row r="36" spans="1:17" ht="12" hidden="1">
      <c r="A36" s="64"/>
      <c r="B36" s="64"/>
      <c r="D36" s="68">
        <f aca="true" t="shared" si="11" ref="D36:D44">D12/2.2046</f>
        <v>4.535970244035199</v>
      </c>
      <c r="E36" s="68">
        <f aca="true" t="shared" si="12" ref="E36:E44">E12/2.2046</f>
        <v>7.257552390456318</v>
      </c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</row>
    <row r="37" spans="4:5" ht="12" hidden="1">
      <c r="D37" s="68">
        <f t="shared" si="11"/>
        <v>7.257552390456318</v>
      </c>
      <c r="E37" s="68">
        <f t="shared" si="12"/>
        <v>9.071940488070398</v>
      </c>
    </row>
    <row r="38" spans="4:5" ht="12" hidden="1">
      <c r="D38" s="68">
        <f t="shared" si="11"/>
        <v>9.071940488070398</v>
      </c>
      <c r="E38" s="68">
        <f t="shared" si="12"/>
        <v>11.339925610087997</v>
      </c>
    </row>
    <row r="39" spans="4:5" ht="12" hidden="1">
      <c r="D39" s="68">
        <f t="shared" si="11"/>
        <v>11.339925610087997</v>
      </c>
      <c r="E39" s="68">
        <f t="shared" si="12"/>
        <v>24.947836342193593</v>
      </c>
    </row>
    <row r="40" spans="4:5" ht="12" hidden="1">
      <c r="D40" s="68">
        <f t="shared" si="11"/>
        <v>24.947836342193593</v>
      </c>
      <c r="E40" s="68">
        <f t="shared" si="12"/>
        <v>31.751791708246394</v>
      </c>
    </row>
    <row r="41" spans="4:5" ht="12" hidden="1">
      <c r="D41" s="68">
        <f t="shared" si="11"/>
        <v>31.751791708246394</v>
      </c>
      <c r="E41" s="68">
        <f t="shared" si="12"/>
        <v>64.41077746529983</v>
      </c>
    </row>
    <row r="42" spans="4:5" ht="12" hidden="1">
      <c r="D42" s="68">
        <f t="shared" si="11"/>
        <v>64.41077746529983</v>
      </c>
      <c r="E42" s="68">
        <f t="shared" si="12"/>
        <v>83.91544951465119</v>
      </c>
    </row>
    <row r="43" spans="4:5" ht="12" hidden="1">
      <c r="D43" s="68">
        <f t="shared" si="11"/>
        <v>83.91544951465119</v>
      </c>
      <c r="E43" s="68">
        <f t="shared" si="12"/>
        <v>106.59530073482718</v>
      </c>
    </row>
    <row r="44" spans="4:5" ht="12" hidden="1">
      <c r="D44" s="68">
        <f t="shared" si="11"/>
        <v>106.59530073482718</v>
      </c>
      <c r="E44" s="68">
        <f t="shared" si="12"/>
        <v>131.54313707702076</v>
      </c>
    </row>
    <row r="45" spans="4:5" ht="12">
      <c r="D45" s="89"/>
      <c r="E45" s="89"/>
    </row>
    <row r="46" spans="4:5" ht="12">
      <c r="D46" s="89"/>
      <c r="E46" s="89"/>
    </row>
    <row r="47" spans="4:5" ht="12">
      <c r="D47" s="89"/>
      <c r="E47" s="89"/>
    </row>
    <row r="48" spans="4:5" ht="12">
      <c r="D48" s="89"/>
      <c r="E48" s="89"/>
    </row>
    <row r="49" spans="4:5" ht="12">
      <c r="D49" s="89"/>
      <c r="E49" s="89"/>
    </row>
    <row r="50" spans="4:5" ht="12">
      <c r="D50" s="89"/>
      <c r="E50" s="89"/>
    </row>
    <row r="51" spans="4:5" ht="12">
      <c r="D51" s="89"/>
      <c r="E51" s="89"/>
    </row>
  </sheetData>
  <sheetProtection/>
  <mergeCells count="9">
    <mergeCell ref="A1:Q5"/>
    <mergeCell ref="A7:B7"/>
    <mergeCell ref="C10:C11"/>
    <mergeCell ref="D10:E10"/>
    <mergeCell ref="H10:I10"/>
    <mergeCell ref="J10:K10"/>
    <mergeCell ref="L10:M10"/>
    <mergeCell ref="P10:Q10"/>
    <mergeCell ref="N10:O10"/>
  </mergeCells>
  <conditionalFormatting sqref="P12:Q20">
    <cfRule type="cellIs" priority="12" dxfId="10" operator="equal">
      <formula>"Don't change"</formula>
    </cfRule>
  </conditionalFormatting>
  <conditionalFormatting sqref="C13:C20">
    <cfRule type="cellIs" priority="11" dxfId="3" operator="lessThan">
      <formula>"&lt;0"</formula>
    </cfRule>
  </conditionalFormatting>
  <conditionalFormatting sqref="D13:D18 E36:E42">
    <cfRule type="cellIs" priority="9" dxfId="3" operator="equal">
      <formula>0</formula>
    </cfRule>
  </conditionalFormatting>
  <conditionalFormatting sqref="D19">
    <cfRule type="cellIs" priority="4" dxfId="3" operator="equal">
      <formula>0</formula>
    </cfRule>
  </conditionalFormatting>
  <conditionalFormatting sqref="D20">
    <cfRule type="cellIs" priority="3" dxfId="3" operator="equal">
      <formula>0</formula>
    </cfRule>
  </conditionalFormatting>
  <conditionalFormatting sqref="D19">
    <cfRule type="cellIs" priority="2" dxfId="3" operator="equal">
      <formula>0</formula>
    </cfRule>
  </conditionalFormatting>
  <conditionalFormatting sqref="D20">
    <cfRule type="cellIs" priority="1" dxfId="3" operator="equal">
      <formula>0</formula>
    </cfRule>
  </conditionalFormatting>
  <dataValidations count="2">
    <dataValidation type="list" allowBlank="1" showInputMessage="1" showErrorMessage="1" sqref="Q8">
      <formula1>$A$22:$A$24</formula1>
    </dataValidation>
    <dataValidation errorStyle="warning" type="list" allowBlank="1" showInputMessage="1" showErrorMessage="1" promptTitle="Production System" prompt="Choose this based on mortality level or  constraints (i.e., feeders, ventilation, health, pen density, etc):&#10;Good    = Low constraints (&lt;3% WF mort.);&#10;Normal = Medium constraints (3-6% WF mort.);&#10;Poor     = High constraints (&gt;6% W-F mort.)." sqref="Q7">
      <formula1>$A$25:$A$27</formula1>
    </dataValidation>
  </dataValidations>
  <printOptions/>
  <pageMargins left="0.7" right="0.7" top="0.75" bottom="0.75" header="0.3" footer="0.3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H187"/>
  <sheetViews>
    <sheetView showGridLines="0" showRowColHeaders="0" zoomScale="110" zoomScaleNormal="110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7" sqref="D7"/>
    </sheetView>
  </sheetViews>
  <sheetFormatPr defaultColWidth="9.140625" defaultRowHeight="15"/>
  <cols>
    <col min="1" max="1" width="9.140625" style="1" customWidth="1"/>
    <col min="2" max="2" width="8.421875" style="1" bestFit="1" customWidth="1"/>
    <col min="3" max="3" width="6.140625" style="1" bestFit="1" customWidth="1"/>
    <col min="4" max="4" width="13.8515625" style="1" bestFit="1" customWidth="1"/>
    <col min="5" max="5" width="6.421875" style="1" customWidth="1"/>
    <col min="6" max="6" width="11.421875" style="1" hidden="1" customWidth="1"/>
    <col min="7" max="8" width="0" style="1" hidden="1" customWidth="1"/>
    <col min="9" max="16384" width="9.140625" style="1" customWidth="1"/>
  </cols>
  <sheetData>
    <row r="1" ht="15.75" thickBot="1"/>
    <row r="2" spans="2:5" ht="30.75" customHeight="1">
      <c r="B2" s="126" t="s">
        <v>8</v>
      </c>
      <c r="C2" s="127"/>
      <c r="D2" s="127"/>
      <c r="E2" s="128"/>
    </row>
    <row r="3" spans="2:5" ht="15" customHeight="1">
      <c r="B3" s="129" t="s">
        <v>3</v>
      </c>
      <c r="C3" s="130"/>
      <c r="D3" s="130"/>
      <c r="E3" s="125" t="s">
        <v>2</v>
      </c>
    </row>
    <row r="4" spans="2:8" ht="15" customHeight="1">
      <c r="B4" s="10" t="str">
        <f>'Seasonal Formulation'!A23</f>
        <v>Barrows</v>
      </c>
      <c r="C4" s="5" t="str">
        <f>'Seasonal Formulation'!A22</f>
        <v>Gilts</v>
      </c>
      <c r="D4" s="5" t="str">
        <f>'Seasonal Formulation'!A24</f>
        <v>Barrows + Gilts</v>
      </c>
      <c r="E4" s="125"/>
      <c r="F4" s="2" t="s">
        <v>12</v>
      </c>
      <c r="G4" s="2" t="s">
        <v>7</v>
      </c>
      <c r="H4" s="2" t="s">
        <v>13</v>
      </c>
    </row>
    <row r="5" spans="2:8" ht="15" customHeight="1">
      <c r="B5" s="11">
        <f>D5</f>
        <v>5.216313726344017</v>
      </c>
      <c r="C5" s="6">
        <f>D5</f>
        <v>5.216313726344017</v>
      </c>
      <c r="D5" s="6">
        <f aca="true" t="shared" si="0" ref="D5:D15">H8</f>
        <v>5.216313726344017</v>
      </c>
      <c r="E5" s="12">
        <v>18</v>
      </c>
      <c r="F5" s="2"/>
      <c r="G5" s="2"/>
      <c r="H5" s="2"/>
    </row>
    <row r="6" spans="2:5" ht="15" customHeight="1">
      <c r="B6" s="11">
        <f aca="true" t="shared" si="1" ref="B6:B46">D6</f>
        <v>5.443109975315496</v>
      </c>
      <c r="C6" s="6">
        <f aca="true" t="shared" si="2" ref="C6:C46">D6</f>
        <v>5.443109975315496</v>
      </c>
      <c r="D6" s="6">
        <f t="shared" si="0"/>
        <v>5.443109975315496</v>
      </c>
      <c r="E6" s="12">
        <v>19</v>
      </c>
    </row>
    <row r="7" spans="2:5" ht="15" customHeight="1">
      <c r="B7" s="11">
        <f t="shared" si="1"/>
        <v>5.669906224286975</v>
      </c>
      <c r="C7" s="6">
        <f t="shared" si="2"/>
        <v>5.669906224286975</v>
      </c>
      <c r="D7" s="6">
        <f t="shared" si="0"/>
        <v>5.669906224286975</v>
      </c>
      <c r="E7" s="12">
        <v>20</v>
      </c>
    </row>
    <row r="8" spans="2:8" ht="15" customHeight="1">
      <c r="B8" s="11">
        <f t="shared" si="1"/>
        <v>5.896702473258454</v>
      </c>
      <c r="C8" s="6">
        <f t="shared" si="2"/>
        <v>5.896702473258454</v>
      </c>
      <c r="D8" s="6">
        <f t="shared" si="0"/>
        <v>5.896702473258454</v>
      </c>
      <c r="E8" s="13">
        <v>21</v>
      </c>
      <c r="F8" s="3">
        <v>18</v>
      </c>
      <c r="G8" s="2">
        <v>11.5</v>
      </c>
      <c r="H8" s="4">
        <f>G8/2.204622</f>
        <v>5.216313726344017</v>
      </c>
    </row>
    <row r="9" spans="2:8" ht="15" customHeight="1">
      <c r="B9" s="11">
        <f t="shared" si="1"/>
        <v>6.123498722229933</v>
      </c>
      <c r="C9" s="6">
        <f t="shared" si="2"/>
        <v>6.123498722229933</v>
      </c>
      <c r="D9" s="6">
        <f t="shared" si="0"/>
        <v>6.123498722229933</v>
      </c>
      <c r="E9" s="12">
        <v>22</v>
      </c>
      <c r="F9" s="3">
        <v>19</v>
      </c>
      <c r="G9" s="3">
        <v>12</v>
      </c>
      <c r="H9" s="4">
        <f aca="true" t="shared" si="3" ref="H9:H18">G9/2.204622</f>
        <v>5.443109975315496</v>
      </c>
    </row>
    <row r="10" spans="2:8" ht="15" customHeight="1">
      <c r="B10" s="11">
        <f t="shared" si="1"/>
        <v>6.3502949712014125</v>
      </c>
      <c r="C10" s="6">
        <f t="shared" si="2"/>
        <v>6.3502949712014125</v>
      </c>
      <c r="D10" s="6">
        <f t="shared" si="0"/>
        <v>6.3502949712014125</v>
      </c>
      <c r="E10" s="12">
        <v>23</v>
      </c>
      <c r="F10" s="3">
        <v>20</v>
      </c>
      <c r="G10" s="2">
        <v>12.5</v>
      </c>
      <c r="H10" s="4">
        <f t="shared" si="3"/>
        <v>5.669906224286975</v>
      </c>
    </row>
    <row r="11" spans="2:8" ht="15" customHeight="1">
      <c r="B11" s="11">
        <f t="shared" si="1"/>
        <v>6.577091220172891</v>
      </c>
      <c r="C11" s="6">
        <f t="shared" si="2"/>
        <v>6.577091220172891</v>
      </c>
      <c r="D11" s="6">
        <f t="shared" si="0"/>
        <v>6.577091220172891</v>
      </c>
      <c r="E11" s="12">
        <v>24</v>
      </c>
      <c r="F11" s="3">
        <v>21</v>
      </c>
      <c r="G11" s="3">
        <v>13</v>
      </c>
      <c r="H11" s="4">
        <f t="shared" si="3"/>
        <v>5.896702473258454</v>
      </c>
    </row>
    <row r="12" spans="2:8" ht="15" customHeight="1">
      <c r="B12" s="11">
        <f t="shared" si="1"/>
        <v>6.80388746914437</v>
      </c>
      <c r="C12" s="6">
        <f t="shared" si="2"/>
        <v>6.80388746914437</v>
      </c>
      <c r="D12" s="6">
        <f t="shared" si="0"/>
        <v>6.80388746914437</v>
      </c>
      <c r="E12" s="12">
        <v>25</v>
      </c>
      <c r="F12" s="3">
        <v>22</v>
      </c>
      <c r="G12" s="2">
        <v>13.5</v>
      </c>
      <c r="H12" s="4">
        <f t="shared" si="3"/>
        <v>6.123498722229933</v>
      </c>
    </row>
    <row r="13" spans="2:8" ht="15" customHeight="1">
      <c r="B13" s="11">
        <f t="shared" si="1"/>
        <v>7.030683718115849</v>
      </c>
      <c r="C13" s="6">
        <f t="shared" si="2"/>
        <v>7.030683718115849</v>
      </c>
      <c r="D13" s="6">
        <f t="shared" si="0"/>
        <v>7.030683718115849</v>
      </c>
      <c r="E13" s="12">
        <v>26</v>
      </c>
      <c r="F13" s="3">
        <v>23</v>
      </c>
      <c r="G13" s="3">
        <v>14</v>
      </c>
      <c r="H13" s="4">
        <f t="shared" si="3"/>
        <v>6.3502949712014125</v>
      </c>
    </row>
    <row r="14" spans="2:8" ht="15" customHeight="1">
      <c r="B14" s="11">
        <f t="shared" si="1"/>
        <v>7.2574799670873285</v>
      </c>
      <c r="C14" s="6">
        <f t="shared" si="2"/>
        <v>7.2574799670873285</v>
      </c>
      <c r="D14" s="6">
        <f t="shared" si="0"/>
        <v>7.2574799670873285</v>
      </c>
      <c r="E14" s="12">
        <v>27</v>
      </c>
      <c r="F14" s="3">
        <v>24</v>
      </c>
      <c r="G14" s="2">
        <v>14.5</v>
      </c>
      <c r="H14" s="4">
        <f t="shared" si="3"/>
        <v>6.577091220172891</v>
      </c>
    </row>
    <row r="15" spans="2:8" ht="15" customHeight="1">
      <c r="B15" s="11">
        <f t="shared" si="1"/>
        <v>7.484276216058807</v>
      </c>
      <c r="C15" s="6">
        <f t="shared" si="2"/>
        <v>7.484276216058807</v>
      </c>
      <c r="D15" s="6">
        <f t="shared" si="0"/>
        <v>7.484276216058807</v>
      </c>
      <c r="E15" s="13">
        <v>28</v>
      </c>
      <c r="F15" s="3">
        <v>25</v>
      </c>
      <c r="G15" s="3">
        <v>15</v>
      </c>
      <c r="H15" s="4">
        <f t="shared" si="3"/>
        <v>6.80388746914437</v>
      </c>
    </row>
    <row r="16" spans="2:8" ht="15" customHeight="1">
      <c r="B16" s="11">
        <f t="shared" si="1"/>
        <v>7.7110271057804916</v>
      </c>
      <c r="C16" s="6">
        <f t="shared" si="2"/>
        <v>7.7110271057804916</v>
      </c>
      <c r="D16" s="6">
        <f>D15+(((-0.0006*((E16-$E$5+1)^2)+(0.057*((E16-$E$5+1)))-0.0977))/2.204622)</f>
        <v>7.7110271057804916</v>
      </c>
      <c r="E16" s="12">
        <v>29</v>
      </c>
      <c r="F16" s="3">
        <v>26</v>
      </c>
      <c r="G16" s="2">
        <v>15.5</v>
      </c>
      <c r="H16" s="4">
        <f t="shared" si="3"/>
        <v>7.030683718115849</v>
      </c>
    </row>
    <row r="17" spans="2:8" ht="15" customHeight="1">
      <c r="B17" s="11">
        <f t="shared" si="1"/>
        <v>7.95682888041578</v>
      </c>
      <c r="C17" s="6">
        <f t="shared" si="2"/>
        <v>7.95682888041578</v>
      </c>
      <c r="D17" s="6">
        <f aca="true" t="shared" si="4" ref="D17:D46">D16+(((-0.0006*((E17-$E$5+1)^2)+(0.057*((E17-$E$5+1)))-0.0977))/2.204622)</f>
        <v>7.95682888041578</v>
      </c>
      <c r="E17" s="12">
        <v>30</v>
      </c>
      <c r="F17" s="3">
        <v>27</v>
      </c>
      <c r="G17" s="3">
        <v>16</v>
      </c>
      <c r="H17" s="4">
        <f t="shared" si="3"/>
        <v>7.2574799670873285</v>
      </c>
    </row>
    <row r="18" spans="2:8" ht="15" customHeight="1">
      <c r="B18" s="11">
        <f t="shared" si="1"/>
        <v>8.221137228967141</v>
      </c>
      <c r="C18" s="6">
        <f t="shared" si="2"/>
        <v>8.221137228967141</v>
      </c>
      <c r="D18" s="6">
        <f t="shared" si="4"/>
        <v>8.221137228967141</v>
      </c>
      <c r="E18" s="12">
        <v>31</v>
      </c>
      <c r="F18" s="3">
        <v>28</v>
      </c>
      <c r="G18" s="2">
        <v>16.5</v>
      </c>
      <c r="H18" s="4">
        <f t="shared" si="3"/>
        <v>7.484276216058807</v>
      </c>
    </row>
    <row r="19" spans="2:5" ht="15" customHeight="1">
      <c r="B19" s="11">
        <f t="shared" si="1"/>
        <v>8.503407840437044</v>
      </c>
      <c r="C19" s="6">
        <f t="shared" si="2"/>
        <v>8.503407840437044</v>
      </c>
      <c r="D19" s="6">
        <f t="shared" si="4"/>
        <v>8.503407840437044</v>
      </c>
      <c r="E19" s="12">
        <v>32</v>
      </c>
    </row>
    <row r="20" spans="2:5" ht="15" customHeight="1">
      <c r="B20" s="11">
        <f t="shared" si="1"/>
        <v>8.803096403827956</v>
      </c>
      <c r="C20" s="6">
        <f t="shared" si="2"/>
        <v>8.803096403827956</v>
      </c>
      <c r="D20" s="6">
        <f t="shared" si="4"/>
        <v>8.803096403827956</v>
      </c>
      <c r="E20" s="12">
        <v>33</v>
      </c>
    </row>
    <row r="21" spans="2:5" ht="15" customHeight="1">
      <c r="B21" s="11">
        <f t="shared" si="1"/>
        <v>9.119658608142347</v>
      </c>
      <c r="C21" s="6">
        <f t="shared" si="2"/>
        <v>9.119658608142347</v>
      </c>
      <c r="D21" s="6">
        <f t="shared" si="4"/>
        <v>9.119658608142347</v>
      </c>
      <c r="E21" s="12">
        <v>34</v>
      </c>
    </row>
    <row r="22" spans="2:5" ht="15" customHeight="1">
      <c r="B22" s="11">
        <f t="shared" si="1"/>
        <v>9.452550142382684</v>
      </c>
      <c r="C22" s="6">
        <f t="shared" si="2"/>
        <v>9.452550142382684</v>
      </c>
      <c r="D22" s="6">
        <f t="shared" si="4"/>
        <v>9.452550142382684</v>
      </c>
      <c r="E22" s="13">
        <v>35</v>
      </c>
    </row>
    <row r="23" spans="2:5" ht="15" customHeight="1">
      <c r="B23" s="11">
        <f t="shared" si="1"/>
        <v>9.801226695551435</v>
      </c>
      <c r="C23" s="6">
        <f t="shared" si="2"/>
        <v>9.801226695551435</v>
      </c>
      <c r="D23" s="6">
        <f t="shared" si="4"/>
        <v>9.801226695551435</v>
      </c>
      <c r="E23" s="12">
        <v>36</v>
      </c>
    </row>
    <row r="24" spans="2:5" ht="15" customHeight="1">
      <c r="B24" s="11">
        <f t="shared" si="1"/>
        <v>10.16514395665107</v>
      </c>
      <c r="C24" s="6">
        <f t="shared" si="2"/>
        <v>10.16514395665107</v>
      </c>
      <c r="D24" s="6">
        <f t="shared" si="4"/>
        <v>10.16514395665107</v>
      </c>
      <c r="E24" s="12">
        <v>37</v>
      </c>
    </row>
    <row r="25" spans="2:5" ht="15" customHeight="1">
      <c r="B25" s="11">
        <f t="shared" si="1"/>
        <v>10.543757614684058</v>
      </c>
      <c r="C25" s="6">
        <f t="shared" si="2"/>
        <v>10.543757614684058</v>
      </c>
      <c r="D25" s="6">
        <f t="shared" si="4"/>
        <v>10.543757614684058</v>
      </c>
      <c r="E25" s="12">
        <v>38</v>
      </c>
    </row>
    <row r="26" spans="2:5" ht="15" customHeight="1">
      <c r="B26" s="11">
        <f t="shared" si="1"/>
        <v>10.936523358652865</v>
      </c>
      <c r="C26" s="6">
        <f t="shared" si="2"/>
        <v>10.936523358652865</v>
      </c>
      <c r="D26" s="6">
        <f t="shared" si="4"/>
        <v>10.936523358652865</v>
      </c>
      <c r="E26" s="12">
        <v>39</v>
      </c>
    </row>
    <row r="27" spans="2:5" ht="15" customHeight="1">
      <c r="B27" s="11">
        <f t="shared" si="1"/>
        <v>11.34289687755996</v>
      </c>
      <c r="C27" s="6">
        <f t="shared" si="2"/>
        <v>11.34289687755996</v>
      </c>
      <c r="D27" s="6">
        <f t="shared" si="4"/>
        <v>11.34289687755996</v>
      </c>
      <c r="E27" s="12">
        <v>40</v>
      </c>
    </row>
    <row r="28" spans="2:5" ht="15" customHeight="1">
      <c r="B28" s="11">
        <f t="shared" si="1"/>
        <v>11.762333860407814</v>
      </c>
      <c r="C28" s="6">
        <f t="shared" si="2"/>
        <v>11.762333860407814</v>
      </c>
      <c r="D28" s="6">
        <f t="shared" si="4"/>
        <v>11.762333860407814</v>
      </c>
      <c r="E28" s="12">
        <v>41</v>
      </c>
    </row>
    <row r="29" spans="2:5" ht="15" customHeight="1">
      <c r="B29" s="11">
        <f t="shared" si="1"/>
        <v>12.194289996198894</v>
      </c>
      <c r="C29" s="6">
        <f t="shared" si="2"/>
        <v>12.194289996198894</v>
      </c>
      <c r="D29" s="6">
        <f t="shared" si="4"/>
        <v>12.194289996198894</v>
      </c>
      <c r="E29" s="13">
        <v>42</v>
      </c>
    </row>
    <row r="30" spans="2:5" ht="15" customHeight="1">
      <c r="B30" s="11">
        <f t="shared" si="1"/>
        <v>12.638220973935667</v>
      </c>
      <c r="C30" s="6">
        <f t="shared" si="2"/>
        <v>12.638220973935667</v>
      </c>
      <c r="D30" s="6">
        <f t="shared" si="4"/>
        <v>12.638220973935667</v>
      </c>
      <c r="E30" s="12">
        <v>43</v>
      </c>
    </row>
    <row r="31" spans="2:5" ht="15" customHeight="1">
      <c r="B31" s="11">
        <f t="shared" si="1"/>
        <v>13.093582482620603</v>
      </c>
      <c r="C31" s="6">
        <f t="shared" si="2"/>
        <v>13.093582482620603</v>
      </c>
      <c r="D31" s="6">
        <f t="shared" si="4"/>
        <v>13.093582482620603</v>
      </c>
      <c r="E31" s="12">
        <v>44</v>
      </c>
    </row>
    <row r="32" spans="2:5" ht="15" customHeight="1">
      <c r="B32" s="11">
        <f t="shared" si="1"/>
        <v>13.55983021125617</v>
      </c>
      <c r="C32" s="6">
        <f t="shared" si="2"/>
        <v>13.55983021125617</v>
      </c>
      <c r="D32" s="6">
        <f t="shared" si="4"/>
        <v>13.55983021125617</v>
      </c>
      <c r="E32" s="12">
        <v>45</v>
      </c>
    </row>
    <row r="33" spans="2:5" ht="15" customHeight="1">
      <c r="B33" s="11">
        <f t="shared" si="1"/>
        <v>14.036419848844837</v>
      </c>
      <c r="C33" s="6">
        <f t="shared" si="2"/>
        <v>14.036419848844837</v>
      </c>
      <c r="D33" s="6">
        <f t="shared" si="4"/>
        <v>14.036419848844837</v>
      </c>
      <c r="E33" s="12">
        <v>46</v>
      </c>
    </row>
    <row r="34" spans="2:5" ht="15" customHeight="1">
      <c r="B34" s="11">
        <f t="shared" si="1"/>
        <v>14.52280708438907</v>
      </c>
      <c r="C34" s="6">
        <f t="shared" si="2"/>
        <v>14.52280708438907</v>
      </c>
      <c r="D34" s="6">
        <f t="shared" si="4"/>
        <v>14.52280708438907</v>
      </c>
      <c r="E34" s="12">
        <v>47</v>
      </c>
    </row>
    <row r="35" spans="2:5" ht="15" customHeight="1">
      <c r="B35" s="11">
        <f t="shared" si="1"/>
        <v>15.01844760689134</v>
      </c>
      <c r="C35" s="6">
        <f t="shared" si="2"/>
        <v>15.01844760689134</v>
      </c>
      <c r="D35" s="6">
        <f t="shared" si="4"/>
        <v>15.01844760689134</v>
      </c>
      <c r="E35" s="12">
        <v>48</v>
      </c>
    </row>
    <row r="36" spans="2:5" ht="15" customHeight="1">
      <c r="B36" s="11">
        <f t="shared" si="1"/>
        <v>15.522797105354115</v>
      </c>
      <c r="C36" s="6">
        <f t="shared" si="2"/>
        <v>15.522797105354115</v>
      </c>
      <c r="D36" s="6">
        <f t="shared" si="4"/>
        <v>15.522797105354115</v>
      </c>
      <c r="E36" s="13">
        <v>49</v>
      </c>
    </row>
    <row r="37" spans="2:5" ht="15" customHeight="1">
      <c r="B37" s="11">
        <f t="shared" si="1"/>
        <v>16.035311268779864</v>
      </c>
      <c r="C37" s="6">
        <f t="shared" si="2"/>
        <v>16.035311268779864</v>
      </c>
      <c r="D37" s="6">
        <f t="shared" si="4"/>
        <v>16.035311268779864</v>
      </c>
      <c r="E37" s="12">
        <v>50</v>
      </c>
    </row>
    <row r="38" spans="2:5" ht="15" customHeight="1">
      <c r="B38" s="11">
        <f t="shared" si="1"/>
        <v>16.555445786171056</v>
      </c>
      <c r="C38" s="6">
        <f t="shared" si="2"/>
        <v>16.555445786171056</v>
      </c>
      <c r="D38" s="6">
        <f t="shared" si="4"/>
        <v>16.555445786171056</v>
      </c>
      <c r="E38" s="12">
        <v>51</v>
      </c>
    </row>
    <row r="39" spans="2:5" ht="15" customHeight="1">
      <c r="B39" s="11">
        <f t="shared" si="1"/>
        <v>17.082656346530158</v>
      </c>
      <c r="C39" s="6">
        <f t="shared" si="2"/>
        <v>17.082656346530158</v>
      </c>
      <c r="D39" s="6">
        <f t="shared" si="4"/>
        <v>17.082656346530158</v>
      </c>
      <c r="E39" s="12">
        <v>52</v>
      </c>
    </row>
    <row r="40" spans="2:5" ht="15" customHeight="1">
      <c r="B40" s="11">
        <f t="shared" si="1"/>
        <v>17.616398638859636</v>
      </c>
      <c r="C40" s="6">
        <f t="shared" si="2"/>
        <v>17.616398638859636</v>
      </c>
      <c r="D40" s="6">
        <f t="shared" si="4"/>
        <v>17.616398638859636</v>
      </c>
      <c r="E40" s="12">
        <v>53</v>
      </c>
    </row>
    <row r="41" spans="2:5" ht="15" customHeight="1">
      <c r="B41" s="11">
        <f t="shared" si="1"/>
        <v>18.15612835216196</v>
      </c>
      <c r="C41" s="6">
        <f t="shared" si="2"/>
        <v>18.15612835216196</v>
      </c>
      <c r="D41" s="6">
        <f t="shared" si="4"/>
        <v>18.15612835216196</v>
      </c>
      <c r="E41" s="12">
        <v>54</v>
      </c>
    </row>
    <row r="42" spans="2:5" ht="15" customHeight="1">
      <c r="B42" s="11">
        <f t="shared" si="1"/>
        <v>18.701301175439603</v>
      </c>
      <c r="C42" s="6">
        <f t="shared" si="2"/>
        <v>18.701301175439603</v>
      </c>
      <c r="D42" s="6">
        <f t="shared" si="4"/>
        <v>18.701301175439603</v>
      </c>
      <c r="E42" s="12">
        <v>55</v>
      </c>
    </row>
    <row r="43" spans="2:5" ht="15" customHeight="1">
      <c r="B43" s="11">
        <f t="shared" si="1"/>
        <v>19.25137279769503</v>
      </c>
      <c r="C43" s="6">
        <f t="shared" si="2"/>
        <v>19.25137279769503</v>
      </c>
      <c r="D43" s="6">
        <f t="shared" si="4"/>
        <v>19.25137279769503</v>
      </c>
      <c r="E43" s="13">
        <v>56</v>
      </c>
    </row>
    <row r="44" spans="2:5" ht="15" customHeight="1">
      <c r="B44" s="11">
        <f t="shared" si="1"/>
        <v>19.805798907930708</v>
      </c>
      <c r="C44" s="6">
        <f t="shared" si="2"/>
        <v>19.805798907930708</v>
      </c>
      <c r="D44" s="6">
        <f t="shared" si="4"/>
        <v>19.805798907930708</v>
      </c>
      <c r="E44" s="12">
        <v>57</v>
      </c>
    </row>
    <row r="45" spans="2:5" ht="15" customHeight="1">
      <c r="B45" s="11">
        <f t="shared" si="1"/>
        <v>20.364035195149107</v>
      </c>
      <c r="C45" s="6">
        <f t="shared" si="2"/>
        <v>20.364035195149107</v>
      </c>
      <c r="D45" s="6">
        <f t="shared" si="4"/>
        <v>20.364035195149107</v>
      </c>
      <c r="E45" s="12">
        <v>58</v>
      </c>
    </row>
    <row r="46" spans="2:5" ht="15" customHeight="1">
      <c r="B46" s="11">
        <f t="shared" si="1"/>
        <v>20.925537348352695</v>
      </c>
      <c r="C46" s="6">
        <f t="shared" si="2"/>
        <v>20.925537348352695</v>
      </c>
      <c r="D46" s="6">
        <f t="shared" si="4"/>
        <v>20.925537348352695</v>
      </c>
      <c r="E46" s="12">
        <v>59</v>
      </c>
    </row>
    <row r="47" spans="2:5" ht="15.75">
      <c r="B47" s="14">
        <v>21.2685468133663</v>
      </c>
      <c r="C47" s="7">
        <v>21.6877480187395</v>
      </c>
      <c r="D47" s="7">
        <v>21.4781474160529</v>
      </c>
      <c r="E47" s="12">
        <v>60</v>
      </c>
    </row>
    <row r="48" spans="2:5" ht="15.75">
      <c r="B48" s="15">
        <v>21.952358864357855</v>
      </c>
      <c r="C48" s="8">
        <v>22.343811189993055</v>
      </c>
      <c r="D48" s="8">
        <v>22.148085027175455</v>
      </c>
      <c r="E48" s="12">
        <v>61</v>
      </c>
    </row>
    <row r="49" spans="2:5" ht="15.75">
      <c r="B49" s="14">
        <v>22.646453843673385</v>
      </c>
      <c r="C49" s="7">
        <v>23.008503087676242</v>
      </c>
      <c r="D49" s="7">
        <v>22.827478465674815</v>
      </c>
      <c r="E49" s="12">
        <v>62</v>
      </c>
    </row>
    <row r="50" spans="2:5" ht="15.75">
      <c r="B50" s="14">
        <v>23.350697125217017</v>
      </c>
      <c r="C50" s="7">
        <v>23.681697612576066</v>
      </c>
      <c r="D50" s="7">
        <v>23.51619736889654</v>
      </c>
      <c r="E50" s="13">
        <v>63</v>
      </c>
    </row>
    <row r="51" spans="2:5" ht="15.75">
      <c r="B51" s="14">
        <v>24.064951286106865</v>
      </c>
      <c r="C51" s="7">
        <v>24.363267418634138</v>
      </c>
      <c r="D51" s="7">
        <v>24.2141093523705</v>
      </c>
      <c r="E51" s="12">
        <v>64</v>
      </c>
    </row>
    <row r="52" spans="2:5" ht="15.75">
      <c r="B52" s="14">
        <v>24.7890762189787</v>
      </c>
      <c r="C52" s="7">
        <v>25.053083983889124</v>
      </c>
      <c r="D52" s="7">
        <v>24.921080101433912</v>
      </c>
      <c r="E52" s="12">
        <v>65</v>
      </c>
    </row>
    <row r="53" spans="2:5" ht="15.75">
      <c r="B53" s="14">
        <v>25.52292924438077</v>
      </c>
      <c r="C53" s="7">
        <v>25.751017680960366</v>
      </c>
      <c r="D53" s="7">
        <v>25.636973462670568</v>
      </c>
      <c r="E53" s="12">
        <v>66</v>
      </c>
    </row>
    <row r="54" spans="2:5" ht="15.75">
      <c r="B54" s="14">
        <v>26.266365223187982</v>
      </c>
      <c r="C54" s="7">
        <v>26.456937847037807</v>
      </c>
      <c r="D54" s="7">
        <v>26.361651535112895</v>
      </c>
      <c r="E54" s="12">
        <v>67</v>
      </c>
    </row>
    <row r="55" spans="2:5" ht="15.75">
      <c r="B55" s="14">
        <v>27.019236668960826</v>
      </c>
      <c r="C55" s="7">
        <v>27.17071285334374</v>
      </c>
      <c r="D55" s="7">
        <v>27.094974761152283</v>
      </c>
      <c r="E55" s="12">
        <v>68</v>
      </c>
    </row>
    <row r="56" spans="2:5" ht="15.75">
      <c r="B56" s="14">
        <v>27.781393860172166</v>
      </c>
      <c r="C56" s="7">
        <v>27.89221017403097</v>
      </c>
      <c r="D56" s="7">
        <v>27.83680201710157</v>
      </c>
      <c r="E56" s="12">
        <v>69</v>
      </c>
    </row>
    <row r="57" spans="2:5" ht="15.75">
      <c r="B57" s="16">
        <v>28.552684952223395</v>
      </c>
      <c r="C57" s="9">
        <v>28.621296454482753</v>
      </c>
      <c r="D57" s="9">
        <v>28.586990703353074</v>
      </c>
      <c r="E57" s="13">
        <v>70</v>
      </c>
    </row>
    <row r="58" spans="2:5" ht="15.75">
      <c r="B58" s="14">
        <v>29.332956089170153</v>
      </c>
      <c r="C58" s="7">
        <v>29.35783757897957</v>
      </c>
      <c r="D58" s="7">
        <v>29.34539683407486</v>
      </c>
      <c r="E58" s="12">
        <v>71</v>
      </c>
    </row>
    <row r="59" spans="2:5" ht="15.75">
      <c r="B59" s="14">
        <v>30.122051515076585</v>
      </c>
      <c r="C59" s="7">
        <v>30.10169873769862</v>
      </c>
      <c r="D59" s="7">
        <v>30.111875126387602</v>
      </c>
      <c r="E59" s="12">
        <v>72</v>
      </c>
    </row>
    <row r="60" spans="2:5" ht="15.75">
      <c r="B60" s="14">
        <v>30.919813684917152</v>
      </c>
      <c r="C60" s="7">
        <v>30.852744493011794</v>
      </c>
      <c r="D60" s="7">
        <v>30.88627908896447</v>
      </c>
      <c r="E60" s="12">
        <v>73</v>
      </c>
    </row>
    <row r="61" spans="2:5" ht="15.75">
      <c r="B61" s="14">
        <v>31.72608337494401</v>
      </c>
      <c r="C61" s="7">
        <v>31.61083884504908</v>
      </c>
      <c r="D61" s="7">
        <v>31.668461109996546</v>
      </c>
      <c r="E61" s="12">
        <v>74</v>
      </c>
    </row>
    <row r="62" spans="2:5" ht="15.75">
      <c r="B62" s="14">
        <v>32.54069979243901</v>
      </c>
      <c r="C62" s="7">
        <v>32.375845296494745</v>
      </c>
      <c r="D62" s="7">
        <v>32.45827254446687</v>
      </c>
      <c r="E62" s="12">
        <v>75</v>
      </c>
    </row>
    <row r="63" spans="2:5" ht="15.75">
      <c r="B63" s="14">
        <v>33.36350068476883</v>
      </c>
      <c r="C63" s="7">
        <v>33.147626916584194</v>
      </c>
      <c r="D63" s="7">
        <v>33.25556380067651</v>
      </c>
      <c r="E63" s="12">
        <v>76</v>
      </c>
    </row>
    <row r="64" spans="2:5" ht="15.75">
      <c r="B64" s="16">
        <v>34.194322447663325</v>
      </c>
      <c r="C64" s="9">
        <v>33.92604640427096</v>
      </c>
      <c r="D64" s="9">
        <v>34.060184425967144</v>
      </c>
      <c r="E64" s="13">
        <v>77</v>
      </c>
    </row>
    <row r="65" spans="2:5" ht="15.75">
      <c r="B65" s="14">
        <v>35.033000232637534</v>
      </c>
      <c r="C65" s="7">
        <v>34.71096615053325</v>
      </c>
      <c r="D65" s="7">
        <v>34.87198319158539</v>
      </c>
      <c r="E65" s="12">
        <v>78</v>
      </c>
    </row>
    <row r="66" spans="2:5" ht="15.75">
      <c r="B66" s="14">
        <v>35.879368053479084</v>
      </c>
      <c r="C66" s="7">
        <v>35.50224829979156</v>
      </c>
      <c r="D66" s="7">
        <v>35.69080817663532</v>
      </c>
      <c r="E66" s="12">
        <v>79</v>
      </c>
    </row>
    <row r="67" spans="2:5" ht="15.75">
      <c r="B67" s="14">
        <v>36.733258891724645</v>
      </c>
      <c r="C67" s="7">
        <v>36.29975481040887</v>
      </c>
      <c r="D67" s="7">
        <v>36.51650685106676</v>
      </c>
      <c r="E67" s="12">
        <v>80</v>
      </c>
    </row>
    <row r="68" spans="2:5" ht="15.75">
      <c r="B68" s="14">
        <v>37.5945048010498</v>
      </c>
      <c r="C68" s="7">
        <v>37.10334751424699</v>
      </c>
      <c r="D68" s="7">
        <v>37.3489261576484</v>
      </c>
      <c r="E68" s="12">
        <v>81</v>
      </c>
    </row>
    <row r="69" spans="2:5" ht="15.75">
      <c r="B69" s="14">
        <v>38.46293701049939</v>
      </c>
      <c r="C69" s="7">
        <v>37.91288817525305</v>
      </c>
      <c r="D69" s="7">
        <v>38.187912592876216</v>
      </c>
      <c r="E69" s="12">
        <v>82</v>
      </c>
    </row>
    <row r="70" spans="2:5" ht="15.75">
      <c r="B70" s="14">
        <v>39.33838602648696</v>
      </c>
      <c r="C70" s="7">
        <v>38.72823854705191</v>
      </c>
      <c r="D70" s="7">
        <v>39.03331228676943</v>
      </c>
      <c r="E70" s="12">
        <v>83</v>
      </c>
    </row>
    <row r="71" spans="2:5" ht="15.75">
      <c r="B71" s="16">
        <v>40.22068173349385</v>
      </c>
      <c r="C71" s="9">
        <v>39.54926042952096</v>
      </c>
      <c r="D71" s="9">
        <v>39.8849710815074</v>
      </c>
      <c r="E71" s="13">
        <v>84</v>
      </c>
    </row>
    <row r="72" spans="2:5" ht="15.75">
      <c r="B72" s="14">
        <v>41.10965349340147</v>
      </c>
      <c r="C72" s="7">
        <v>40.375815724325705</v>
      </c>
      <c r="D72" s="7">
        <v>40.742734608863586</v>
      </c>
      <c r="E72" s="12">
        <v>85</v>
      </c>
    </row>
    <row r="73" spans="2:5" ht="15.75">
      <c r="B73" s="14">
        <v>42.00513024339174</v>
      </c>
      <c r="C73" s="7">
        <v>41.20776648939494</v>
      </c>
      <c r="D73" s="7">
        <v>41.606448366393344</v>
      </c>
      <c r="E73" s="12">
        <v>86</v>
      </c>
    </row>
    <row r="74" spans="2:5" ht="15.75">
      <c r="B74" s="14">
        <v>42.90694059235426</v>
      </c>
      <c r="C74" s="7">
        <v>42.04497499231676</v>
      </c>
      <c r="D74" s="7">
        <v>42.47595779233551</v>
      </c>
      <c r="E74" s="12">
        <v>87</v>
      </c>
    </row>
    <row r="75" spans="2:5" ht="15.75">
      <c r="B75" s="14">
        <v>43.814912915740436</v>
      </c>
      <c r="C75" s="7">
        <v>42.88730376263671</v>
      </c>
      <c r="D75" s="7">
        <v>43.35110833918857</v>
      </c>
      <c r="E75" s="12">
        <v>88</v>
      </c>
    </row>
    <row r="76" spans="2:5" ht="15.75">
      <c r="B76" s="14">
        <v>44.72887544880811</v>
      </c>
      <c r="C76" s="7">
        <v>43.734615643042</v>
      </c>
      <c r="D76" s="7">
        <v>44.23174554592505</v>
      </c>
      <c r="E76" s="12">
        <v>89</v>
      </c>
    </row>
    <row r="77" spans="2:5" ht="15.75">
      <c r="B77" s="14">
        <v>45.648656378202986</v>
      </c>
      <c r="C77" s="7">
        <v>44.58677383941573</v>
      </c>
      <c r="D77" s="7">
        <v>45.11771510880936</v>
      </c>
      <c r="E77" s="12">
        <v>90</v>
      </c>
    </row>
    <row r="78" spans="2:5" ht="15.75">
      <c r="B78" s="16">
        <v>46.574083931825655</v>
      </c>
      <c r="C78" s="9">
        <v>45.44364196974779</v>
      </c>
      <c r="D78" s="9">
        <v>46.00886295078672</v>
      </c>
      <c r="E78" s="13">
        <v>91</v>
      </c>
    </row>
    <row r="79" spans="2:5" ht="15.75">
      <c r="B79" s="14">
        <v>47.50498646693617</v>
      </c>
      <c r="C79" s="7">
        <v>46.30508411188919</v>
      </c>
      <c r="D79" s="7">
        <v>46.90503528941268</v>
      </c>
      <c r="E79" s="12">
        <v>92</v>
      </c>
    </row>
    <row r="80" spans="2:5" ht="15.75">
      <c r="B80" s="14">
        <v>48.4411925564514</v>
      </c>
      <c r="C80" s="7">
        <v>47.17096485013878</v>
      </c>
      <c r="D80" s="7">
        <v>47.80607870329509</v>
      </c>
      <c r="E80" s="12">
        <v>93</v>
      </c>
    </row>
    <row r="81" spans="2:5" ht="15.75">
      <c r="B81" s="14">
        <v>49.382531073392656</v>
      </c>
      <c r="C81" s="7">
        <v>48.04114932065231</v>
      </c>
      <c r="D81" s="7">
        <v>48.71184019702248</v>
      </c>
      <c r="E81" s="12">
        <v>94</v>
      </c>
    </row>
    <row r="82" spans="2:5" ht="15.75">
      <c r="B82" s="14">
        <v>50.32883127344469</v>
      </c>
      <c r="C82" s="7">
        <v>48.9155032556649</v>
      </c>
      <c r="D82" s="7">
        <v>49.622167264554804</v>
      </c>
      <c r="E82" s="12">
        <v>95</v>
      </c>
    </row>
    <row r="83" spans="2:5" ht="15.75">
      <c r="B83" s="14">
        <v>51.27992287559011</v>
      </c>
      <c r="C83" s="7">
        <v>49.79389302651998</v>
      </c>
      <c r="D83" s="7">
        <v>50.53690795105504</v>
      </c>
      <c r="E83" s="12">
        <v>96</v>
      </c>
    </row>
    <row r="84" spans="2:5" ht="15.75">
      <c r="B84" s="14">
        <v>52.23563614078596</v>
      </c>
      <c r="C84" s="7">
        <v>50.67618568549804</v>
      </c>
      <c r="D84" s="7">
        <v>51.455910913142</v>
      </c>
      <c r="E84" s="12">
        <v>97</v>
      </c>
    </row>
    <row r="85" spans="2:5" ht="15.75">
      <c r="B85" s="16">
        <v>53.19580194865277</v>
      </c>
      <c r="C85" s="9">
        <v>51.56224900644095</v>
      </c>
      <c r="D85" s="9">
        <v>52.37902547754686</v>
      </c>
      <c r="E85" s="13">
        <v>98</v>
      </c>
    </row>
    <row r="86" spans="2:5" ht="15.75">
      <c r="B86" s="14">
        <v>54.160251872148905</v>
      </c>
      <c r="C86" s="7">
        <v>52.45195152416777</v>
      </c>
      <c r="D86" s="7">
        <v>53.306101698158336</v>
      </c>
      <c r="E86" s="12">
        <v>99</v>
      </c>
    </row>
    <row r="87" spans="2:5" ht="15.75">
      <c r="B87" s="14">
        <v>55.12881825020641</v>
      </c>
      <c r="C87" s="7">
        <v>53.34516257268001</v>
      </c>
      <c r="D87" s="7">
        <v>54.23699041144321</v>
      </c>
      <c r="E87" s="12">
        <v>100</v>
      </c>
    </row>
    <row r="88" spans="2:5" ht="15.75">
      <c r="B88" s="14">
        <v>56.10133425830725</v>
      </c>
      <c r="C88" s="7">
        <v>54.24175232215515</v>
      </c>
      <c r="D88" s="7">
        <v>55.1715432902312</v>
      </c>
      <c r="E88" s="12">
        <v>101</v>
      </c>
    </row>
    <row r="89" spans="2:5" ht="15.75">
      <c r="B89" s="14">
        <v>57.07763397698231</v>
      </c>
      <c r="C89" s="7">
        <v>55.14159181472838</v>
      </c>
      <c r="D89" s="7">
        <v>56.10961289585535</v>
      </c>
      <c r="E89" s="12">
        <v>102</v>
      </c>
    </row>
    <row r="90" spans="2:5" ht="15.75">
      <c r="B90" s="14">
        <v>58.05755245821754</v>
      </c>
      <c r="C90" s="7">
        <v>56.04455299906388</v>
      </c>
      <c r="D90" s="7">
        <v>57.05105272864071</v>
      </c>
      <c r="E90" s="12">
        <v>103</v>
      </c>
    </row>
    <row r="91" spans="2:5" ht="15.75">
      <c r="B91" s="14">
        <v>59.0409257897554</v>
      </c>
      <c r="C91" s="7">
        <v>56.95050876371776</v>
      </c>
      <c r="D91" s="7">
        <v>57.99571727673658</v>
      </c>
      <c r="E91" s="12">
        <v>104</v>
      </c>
    </row>
    <row r="92" spans="2:5" ht="15.75">
      <c r="B92" s="16">
        <v>60.027591157282195</v>
      </c>
      <c r="C92" s="9">
        <v>57.85933296929641</v>
      </c>
      <c r="D92" s="9">
        <v>58.9434620632893</v>
      </c>
      <c r="E92" s="13">
        <v>105</v>
      </c>
    </row>
    <row r="93" spans="2:5" ht="15.75">
      <c r="B93" s="14">
        <v>61.01738690449453</v>
      </c>
      <c r="C93" s="7">
        <v>58.77090047941438</v>
      </c>
      <c r="D93" s="7">
        <v>59.89414369195446</v>
      </c>
      <c r="E93" s="12">
        <v>106</v>
      </c>
    </row>
    <row r="94" spans="2:5" ht="15.75">
      <c r="B94" s="14">
        <v>62.01015259104096</v>
      </c>
      <c r="C94" s="7">
        <v>59.68508719045741</v>
      </c>
      <c r="D94" s="7">
        <v>60.847619890749186</v>
      </c>
      <c r="E94" s="12">
        <v>107</v>
      </c>
    </row>
    <row r="95" spans="2:5" ht="15.75">
      <c r="B95" s="14">
        <v>63.00572904833777</v>
      </c>
      <c r="C95" s="7">
        <v>60.60177006015737</v>
      </c>
      <c r="D95" s="7">
        <v>61.803749554247574</v>
      </c>
      <c r="E95" s="12">
        <v>108</v>
      </c>
    </row>
    <row r="96" spans="2:5" ht="15.75">
      <c r="B96" s="14">
        <v>64.0039584332599</v>
      </c>
      <c r="C96" s="7">
        <v>61.520827134986064</v>
      </c>
      <c r="D96" s="7">
        <v>62.76239278412298</v>
      </c>
      <c r="E96" s="12">
        <v>109</v>
      </c>
    </row>
    <row r="97" spans="2:5" ht="15.75">
      <c r="B97" s="14">
        <v>65.00468427971104</v>
      </c>
      <c r="C97" s="7">
        <v>62.44213757637674</v>
      </c>
      <c r="D97" s="7">
        <v>63.72341092804389</v>
      </c>
      <c r="E97" s="12">
        <v>110</v>
      </c>
    </row>
    <row r="98" spans="2:5" ht="15.75">
      <c r="B98" s="14">
        <v>66.00775154807886</v>
      </c>
      <c r="C98" s="7">
        <v>63.36558168578246</v>
      </c>
      <c r="D98" s="7">
        <v>64.68666661693065</v>
      </c>
      <c r="E98" s="12">
        <v>111</v>
      </c>
    </row>
    <row r="99" spans="2:5" ht="15.75">
      <c r="B99" s="16">
        <v>67.01300667258434</v>
      </c>
      <c r="C99" s="9">
        <v>64.2910409285812</v>
      </c>
      <c r="D99" s="9">
        <v>65.65202380058277</v>
      </c>
      <c r="E99" s="13">
        <v>112</v>
      </c>
    </row>
    <row r="100" spans="2:5" ht="15.75">
      <c r="B100" s="14">
        <v>68.0202976065357</v>
      </c>
      <c r="C100" s="7">
        <v>65.21839795683897</v>
      </c>
      <c r="D100" s="7">
        <v>66.61934778168734</v>
      </c>
      <c r="E100" s="12">
        <v>113</v>
      </c>
    </row>
    <row r="101" spans="2:5" ht="15.75">
      <c r="B101" s="14">
        <v>69.02947386549988</v>
      </c>
      <c r="C101" s="7">
        <v>66.14753663094282</v>
      </c>
      <c r="D101" s="7">
        <v>67.58850524822135</v>
      </c>
      <c r="E101" s="12">
        <v>114</v>
      </c>
    </row>
    <row r="102" spans="2:5" ht="15.75">
      <c r="B102" s="14">
        <v>70.04038656840726</v>
      </c>
      <c r="C102" s="7">
        <v>67.07834204011533</v>
      </c>
      <c r="D102" s="7">
        <v>68.5593643042613</v>
      </c>
      <c r="E102" s="12">
        <v>115</v>
      </c>
    </row>
    <row r="103" spans="2:5" ht="15.75">
      <c r="B103" s="14">
        <v>71.05288847660617</v>
      </c>
      <c r="C103" s="7">
        <v>68.01070052182517</v>
      </c>
      <c r="D103" s="7">
        <v>69.53179449921566</v>
      </c>
      <c r="E103" s="12">
        <v>116</v>
      </c>
    </row>
    <row r="104" spans="2:5" ht="15.75">
      <c r="B104" s="14">
        <v>72.06683403088647</v>
      </c>
      <c r="C104" s="7">
        <v>68.94449968010616</v>
      </c>
      <c r="D104" s="7">
        <v>70.50566685549632</v>
      </c>
      <c r="E104" s="12">
        <v>117</v>
      </c>
    </row>
    <row r="105" spans="2:5" ht="15.75">
      <c r="B105" s="14">
        <v>73.08207938649332</v>
      </c>
      <c r="C105" s="7">
        <v>69.87962840280045</v>
      </c>
      <c r="D105" s="7">
        <v>71.48085389464688</v>
      </c>
      <c r="E105" s="12">
        <v>118</v>
      </c>
    </row>
    <row r="106" spans="2:5" ht="15.75">
      <c r="B106" s="16">
        <v>74.09848244615348</v>
      </c>
      <c r="C106" s="9">
        <v>70.81597687774024</v>
      </c>
      <c r="D106" s="9">
        <v>72.45722966194685</v>
      </c>
      <c r="E106" s="13">
        <v>119</v>
      </c>
    </row>
    <row r="107" spans="2:5" ht="15.75">
      <c r="B107" s="14">
        <v>75.11590289113872</v>
      </c>
      <c r="C107" s="7">
        <v>71.75343660788404</v>
      </c>
      <c r="D107" s="7">
        <v>73.43466974951139</v>
      </c>
      <c r="E107" s="12">
        <v>120</v>
      </c>
    </row>
    <row r="108" spans="2:5" ht="15.75">
      <c r="B108" s="14">
        <v>76.13420221039209</v>
      </c>
      <c r="C108" s="7">
        <v>72.69190042542346</v>
      </c>
      <c r="D108" s="7">
        <v>74.41305131790776</v>
      </c>
      <c r="E108" s="12">
        <v>121</v>
      </c>
    </row>
    <row r="109" spans="2:5" ht="15.75">
      <c r="B109" s="14">
        <v>77.15324372774452</v>
      </c>
      <c r="C109" s="7">
        <v>73.63126250487727</v>
      </c>
      <c r="D109" s="7">
        <v>75.3922531163109</v>
      </c>
      <c r="E109" s="12">
        <v>122</v>
      </c>
    </row>
    <row r="110" spans="2:5" ht="15.75">
      <c r="B110" s="14">
        <v>78.17289262725065</v>
      </c>
      <c r="C110" s="7">
        <v>74.57141837519006</v>
      </c>
      <c r="D110" s="7">
        <v>76.37215550122036</v>
      </c>
      <c r="E110" s="12">
        <v>123</v>
      </c>
    </row>
    <row r="111" spans="2:5" ht="15.75">
      <c r="B111" s="14">
        <v>79.19301597667351</v>
      </c>
      <c r="C111" s="7">
        <v>75.51226493085278</v>
      </c>
      <c r="D111" s="7">
        <v>77.35264045376314</v>
      </c>
      <c r="E111" s="12">
        <v>124</v>
      </c>
    </row>
    <row r="112" spans="2:5" ht="15.75">
      <c r="B112" s="14">
        <v>80.21348274914996</v>
      </c>
      <c r="C112" s="7">
        <v>76.45370044206311</v>
      </c>
      <c r="D112" s="7">
        <v>78.33359159560655</v>
      </c>
      <c r="E112" s="12">
        <v>125</v>
      </c>
    </row>
    <row r="113" spans="2:5" ht="15.75">
      <c r="B113" s="16">
        <v>81.23416384306907</v>
      </c>
      <c r="C113" s="9">
        <v>77.39562456394434</v>
      </c>
      <c r="D113" s="9">
        <v>79.31489420350671</v>
      </c>
      <c r="E113" s="13">
        <v>126</v>
      </c>
    </row>
    <row r="114" spans="2:5" ht="15.75">
      <c r="B114" s="14">
        <v>82.25493210019644</v>
      </c>
      <c r="C114" s="7">
        <v>78.33793834484084</v>
      </c>
      <c r="D114" s="7">
        <v>80.29643522251862</v>
      </c>
      <c r="E114" s="12">
        <v>127</v>
      </c>
    </row>
    <row r="115" spans="2:5" ht="15.75">
      <c r="B115" s="14">
        <v>83.27566232207988</v>
      </c>
      <c r="C115" s="7">
        <v>79.28054423370955</v>
      </c>
      <c r="D115" s="7">
        <v>81.27810327789472</v>
      </c>
      <c r="E115" s="12">
        <v>128</v>
      </c>
    </row>
    <row r="116" spans="2:5" ht="15.75">
      <c r="B116" s="14">
        <v>84.29623128477078</v>
      </c>
      <c r="C116" s="7">
        <v>80.2233460866263</v>
      </c>
      <c r="D116" s="7">
        <v>82.25978868569854</v>
      </c>
      <c r="E116" s="12">
        <v>129</v>
      </c>
    </row>
    <row r="117" spans="2:5" ht="15.75">
      <c r="B117" s="14">
        <v>85.31651775189786</v>
      </c>
      <c r="C117" s="7">
        <v>81.16624917242638</v>
      </c>
      <c r="D117" s="7">
        <v>83.2413834621621</v>
      </c>
      <c r="E117" s="12">
        <v>130</v>
      </c>
    </row>
    <row r="118" spans="2:5" ht="15.75">
      <c r="B118" s="14">
        <v>86.33640248612974</v>
      </c>
      <c r="C118" s="7">
        <v>82.10916017749932</v>
      </c>
      <c r="D118" s="7">
        <v>84.22278133181453</v>
      </c>
      <c r="E118" s="12">
        <v>131</v>
      </c>
    </row>
    <row r="119" spans="2:5" ht="15.75">
      <c r="B119" s="14">
        <v>87.35576825906425</v>
      </c>
      <c r="C119" s="7">
        <v>83.05198720975721</v>
      </c>
      <c r="D119" s="7">
        <v>85.20387773441072</v>
      </c>
      <c r="E119" s="12">
        <v>132</v>
      </c>
    </row>
    <row r="120" spans="2:5" ht="15.75">
      <c r="B120" s="16">
        <v>88.37449985958165</v>
      </c>
      <c r="C120" s="9">
        <v>83.99463980179665</v>
      </c>
      <c r="D120" s="9">
        <v>86.18456983068914</v>
      </c>
      <c r="E120" s="13">
        <v>133</v>
      </c>
    </row>
    <row r="121" spans="2:5" ht="15.75">
      <c r="B121" s="14">
        <v>89.39248410070114</v>
      </c>
      <c r="C121" s="7">
        <v>84.93702891327432</v>
      </c>
      <c r="D121" s="7">
        <v>87.16475650698773</v>
      </c>
      <c r="E121" s="12">
        <v>134</v>
      </c>
    </row>
    <row r="122" spans="2:5" ht="15.75">
      <c r="B122" s="14">
        <v>90.40960982497913</v>
      </c>
      <c r="C122" s="7">
        <v>85.87906693251644</v>
      </c>
      <c r="D122" s="7">
        <v>88.14433837874779</v>
      </c>
      <c r="E122" s="12">
        <v>135</v>
      </c>
    </row>
    <row r="123" spans="2:5" ht="15.75">
      <c r="B123" s="14">
        <v>91.42576790848801</v>
      </c>
      <c r="C123" s="7">
        <v>86.82066767738192</v>
      </c>
      <c r="D123" s="7">
        <v>89.12321779293495</v>
      </c>
      <c r="E123" s="12">
        <v>136</v>
      </c>
    </row>
    <row r="124" spans="2:5" ht="15.75">
      <c r="B124" s="14">
        <v>92.4408512634158</v>
      </c>
      <c r="C124" s="7">
        <v>87.76174639539975</v>
      </c>
      <c r="D124" s="7">
        <v>90.10129882940777</v>
      </c>
      <c r="E124" s="12">
        <v>137</v>
      </c>
    </row>
    <row r="125" spans="2:5" ht="15.75">
      <c r="B125" s="14">
        <v>93.45475483932582</v>
      </c>
      <c r="C125" s="7">
        <v>88.70221976320073</v>
      </c>
      <c r="D125" s="7">
        <v>91.07848730126328</v>
      </c>
      <c r="E125" s="12">
        <v>138</v>
      </c>
    </row>
    <row r="126" spans="2:5" ht="15.75">
      <c r="B126" s="14">
        <v>94.46737562311608</v>
      </c>
      <c r="C126" s="7">
        <v>89.6420058852635</v>
      </c>
      <c r="D126" s="7">
        <v>92.05469075418979</v>
      </c>
      <c r="E126" s="12">
        <v>139</v>
      </c>
    </row>
    <row r="127" spans="2:5" ht="15.75">
      <c r="B127" s="16">
        <v>95.47861263771875</v>
      </c>
      <c r="C127" s="9">
        <v>90.58102429199542</v>
      </c>
      <c r="D127" s="9">
        <v>93.02981846485709</v>
      </c>
      <c r="E127" s="13">
        <v>140</v>
      </c>
    </row>
    <row r="128" spans="2:5" ht="15.75">
      <c r="B128" s="14">
        <v>96.48836693957921</v>
      </c>
      <c r="C128" s="7">
        <v>91.51919593716816</v>
      </c>
      <c r="D128" s="7">
        <v>94.0037814383737</v>
      </c>
      <c r="E128" s="12">
        <v>141</v>
      </c>
    </row>
    <row r="129" spans="2:5" ht="15.75">
      <c r="B129" s="14">
        <v>97.49654161495471</v>
      </c>
      <c r="C129" s="7">
        <v>92.45644319472815</v>
      </c>
      <c r="D129" s="7">
        <v>94.97649240484142</v>
      </c>
      <c r="E129" s="12">
        <v>142</v>
      </c>
    </row>
    <row r="130" spans="2:5" ht="15.75">
      <c r="B130" s="14">
        <v>98.50304177507246</v>
      </c>
      <c r="C130" s="7">
        <v>93.39268985500152</v>
      </c>
      <c r="D130" s="7">
        <v>95.94786581503698</v>
      </c>
      <c r="E130" s="12">
        <v>143</v>
      </c>
    </row>
    <row r="131" spans="2:5" ht="15.75">
      <c r="B131" s="14">
        <v>99.50777455018675</v>
      </c>
      <c r="C131" s="7">
        <v>94.32786112031388</v>
      </c>
      <c r="D131" s="7">
        <v>96.9178178352503</v>
      </c>
      <c r="E131" s="12">
        <v>144</v>
      </c>
    </row>
    <row r="132" spans="2:5" ht="15.75">
      <c r="B132" s="14">
        <v>100.51064908257442</v>
      </c>
      <c r="C132" s="7">
        <v>95.26188360004419</v>
      </c>
      <c r="D132" s="7">
        <v>97.88626634130931</v>
      </c>
      <c r="E132" s="12">
        <v>145</v>
      </c>
    </row>
    <row r="133" spans="2:5" ht="15.75">
      <c r="B133" s="14">
        <v>101.51157651850802</v>
      </c>
      <c r="C133" s="7">
        <v>96.19468530513231</v>
      </c>
      <c r="D133" s="7">
        <v>98.85313091182016</v>
      </c>
      <c r="E133" s="12">
        <v>146</v>
      </c>
    </row>
    <row r="134" spans="2:5" ht="15.75">
      <c r="B134" s="16">
        <v>102.51046999924544</v>
      </c>
      <c r="C134" s="9">
        <v>97.12619564205974</v>
      </c>
      <c r="D134" s="9">
        <v>99.81833282065259</v>
      </c>
      <c r="E134" s="13">
        <v>147</v>
      </c>
    </row>
    <row r="135" spans="2:5" ht="15.75">
      <c r="B135" s="14">
        <v>103.50724465107501</v>
      </c>
      <c r="C135" s="7">
        <v>98.05634540632283</v>
      </c>
      <c r="D135" s="7">
        <v>100.78179502869892</v>
      </c>
      <c r="E135" s="12">
        <v>148</v>
      </c>
    </row>
    <row r="136" spans="2:5" ht="15.75">
      <c r="B136" s="14">
        <v>104.50181757445338</v>
      </c>
      <c r="C136" s="7">
        <v>98.98506677541701</v>
      </c>
      <c r="D136" s="7">
        <v>101.74344217493518</v>
      </c>
      <c r="E136" s="12">
        <v>149</v>
      </c>
    </row>
    <row r="137" spans="2:5" ht="15.75">
      <c r="B137" s="14">
        <v>105.4941078322749</v>
      </c>
      <c r="C137" s="7">
        <v>99.91229330135121</v>
      </c>
      <c r="D137" s="7">
        <v>102.70320056681305</v>
      </c>
      <c r="E137" s="12">
        <v>150</v>
      </c>
    </row>
    <row r="138" spans="2:5" ht="15.75">
      <c r="B138" s="14">
        <v>106.48403643730961</v>
      </c>
      <c r="C138" s="7">
        <v>100.83795990271113</v>
      </c>
      <c r="D138" s="7">
        <v>103.66099817001037</v>
      </c>
      <c r="E138" s="12">
        <v>151</v>
      </c>
    </row>
    <row r="139" spans="2:5" ht="15.75">
      <c r="B139" s="14">
        <v>107.47152633884627</v>
      </c>
      <c r="C139" s="7">
        <v>101.76200285628912</v>
      </c>
      <c r="D139" s="7">
        <v>104.6167645975677</v>
      </c>
      <c r="E139" s="12">
        <v>152</v>
      </c>
    </row>
    <row r="140" spans="2:5" ht="15.75">
      <c r="B140" s="14">
        <v>108.45650240857742</v>
      </c>
      <c r="C140" s="7">
        <v>102.68435978829942</v>
      </c>
      <c r="D140" s="7">
        <v>105.57043109843842</v>
      </c>
      <c r="E140" s="12">
        <v>153</v>
      </c>
    </row>
    <row r="141" spans="2:5" ht="15.75">
      <c r="B141" s="16">
        <v>109.43889142576211</v>
      </c>
      <c r="C141" s="9">
        <v>103.60496966519614</v>
      </c>
      <c r="D141" s="9">
        <v>106.52193054547911</v>
      </c>
      <c r="E141" s="13">
        <v>154</v>
      </c>
    </row>
    <row r="142" spans="2:5" ht="15.75">
      <c r="B142" s="14">
        <v>110.41862206170131</v>
      </c>
      <c r="C142" s="7">
        <v>104.52377278411163</v>
      </c>
      <c r="D142" s="7">
        <v>107.47119742290647</v>
      </c>
      <c r="E142" s="12">
        <v>155</v>
      </c>
    </row>
    <row r="143" spans="2:5" ht="15.75">
      <c r="B143" s="14">
        <v>111.39562486356132</v>
      </c>
      <c r="C143" s="7">
        <v>105.4407107629329</v>
      </c>
      <c r="D143" s="7">
        <v>108.41816781324711</v>
      </c>
      <c r="E143" s="12">
        <v>156</v>
      </c>
    </row>
    <row r="144" spans="2:5" ht="15.75">
      <c r="B144" s="14">
        <v>112.3698322375786</v>
      </c>
      <c r="C144" s="7">
        <v>106.35572653003224</v>
      </c>
      <c r="D144" s="7">
        <v>109.36277938380542</v>
      </c>
      <c r="E144" s="12">
        <v>157</v>
      </c>
    </row>
    <row r="145" spans="2:5" ht="15.75">
      <c r="B145" s="14">
        <v>113.34117843168016</v>
      </c>
      <c r="C145" s="7">
        <v>107.26876431366993</v>
      </c>
      <c r="D145" s="7">
        <v>110.30497137267506</v>
      </c>
      <c r="E145" s="12">
        <v>158</v>
      </c>
    </row>
    <row r="146" spans="2:5" ht="15.75">
      <c r="B146" s="14">
        <v>114.30959951755167</v>
      </c>
      <c r="C146" s="7">
        <v>108.17976963108433</v>
      </c>
      <c r="D146" s="7">
        <v>111.244684574318</v>
      </c>
      <c r="E146" s="12">
        <v>159</v>
      </c>
    </row>
    <row r="147" spans="2:5" ht="15.75">
      <c r="B147" s="14">
        <v>115.2750333721861</v>
      </c>
      <c r="C147" s="7">
        <v>109.0886892772862</v>
      </c>
      <c r="D147" s="7">
        <v>112.18186132473615</v>
      </c>
      <c r="E147" s="12">
        <v>160</v>
      </c>
    </row>
    <row r="148" spans="2:5" ht="15.75">
      <c r="B148" s="16">
        <v>116.23741965894406</v>
      </c>
      <c r="C148" s="9">
        <v>109.99547131357303</v>
      </c>
      <c r="D148" s="9">
        <v>113.11644548625856</v>
      </c>
      <c r="E148" s="13">
        <v>161</v>
      </c>
    </row>
    <row r="149" spans="2:5" ht="15.75">
      <c r="B149" s="14">
        <v>117.19669980815672</v>
      </c>
      <c r="C149" s="7">
        <v>110.9000650557782</v>
      </c>
      <c r="D149" s="7">
        <v>114.04838243196745</v>
      </c>
      <c r="E149" s="12">
        <v>162</v>
      </c>
    </row>
    <row r="150" spans="2:5" ht="15.75">
      <c r="B150" s="14">
        <v>118.1528169973013</v>
      </c>
      <c r="C150" s="7">
        <v>111.80242106227134</v>
      </c>
      <c r="D150" s="7">
        <v>114.97761902978633</v>
      </c>
      <c r="E150" s="12">
        <v>163</v>
      </c>
    </row>
    <row r="151" spans="2:5" ht="15.75">
      <c r="B151" s="14">
        <v>119.10571613077896</v>
      </c>
      <c r="C151" s="7">
        <v>112.7024911217234</v>
      </c>
      <c r="D151" s="7">
        <v>115.90410362625119</v>
      </c>
      <c r="E151" s="12">
        <v>164</v>
      </c>
    </row>
    <row r="152" spans="2:5" ht="15.75">
      <c r="B152" s="14">
        <v>120.05534381932326</v>
      </c>
      <c r="C152" s="7">
        <v>113.60022824065211</v>
      </c>
      <c r="D152" s="7">
        <v>116.82778602998769</v>
      </c>
      <c r="E152" s="12">
        <v>165</v>
      </c>
    </row>
    <row r="153" spans="2:5" ht="15.75">
      <c r="B153" s="14">
        <v>121.00164835906747</v>
      </c>
      <c r="C153" s="7">
        <v>114.49558663076161</v>
      </c>
      <c r="D153" s="7">
        <v>117.74861749491454</v>
      </c>
      <c r="E153" s="12">
        <v>166</v>
      </c>
    </row>
    <row r="154" spans="2:5" ht="15.75">
      <c r="B154" s="14">
        <v>121.94457971029809</v>
      </c>
      <c r="C154" s="7">
        <v>115.38852169608973</v>
      </c>
      <c r="D154" s="7">
        <v>118.6665507031939</v>
      </c>
      <c r="E154" s="12">
        <v>167</v>
      </c>
    </row>
    <row r="155" spans="2:5" ht="15.75">
      <c r="B155" s="16">
        <v>122.88408947592075</v>
      </c>
      <c r="C155" s="9">
        <v>116.27899001997731</v>
      </c>
      <c r="D155" s="9">
        <v>119.58153974794902</v>
      </c>
      <c r="E155" s="13">
        <v>168</v>
      </c>
    </row>
    <row r="156" spans="2:5" ht="15.75">
      <c r="B156" s="14">
        <v>123.82013087966449</v>
      </c>
      <c r="C156" s="7">
        <v>117.16694935187235</v>
      </c>
      <c r="D156" s="7">
        <v>120.49354011576841</v>
      </c>
      <c r="E156" s="12">
        <v>169</v>
      </c>
    </row>
    <row r="157" spans="2:5" ht="15.75">
      <c r="B157" s="14">
        <v>124.75265874404971</v>
      </c>
      <c r="C157" s="7">
        <v>118.05235859398154</v>
      </c>
      <c r="D157" s="7">
        <v>121.40250866901562</v>
      </c>
      <c r="E157" s="12">
        <v>170</v>
      </c>
    </row>
    <row r="158" spans="2:5" ht="15.75">
      <c r="B158" s="14">
        <v>125.68162946814351</v>
      </c>
      <c r="C158" s="7">
        <v>118.93517778778262</v>
      </c>
      <c r="D158" s="7">
        <v>122.30840362796306</v>
      </c>
      <c r="E158" s="12">
        <v>171</v>
      </c>
    </row>
    <row r="159" spans="2:5" ht="15.75">
      <c r="B159" s="14">
        <v>126.60700100512662</v>
      </c>
      <c r="C159" s="7">
        <v>119.8153681004091</v>
      </c>
      <c r="D159" s="7">
        <v>123.21118455276786</v>
      </c>
      <c r="E159" s="12">
        <v>172</v>
      </c>
    </row>
    <row r="160" spans="2:5" ht="15.75">
      <c r="B160" s="14">
        <v>127.52873283969438</v>
      </c>
      <c r="C160" s="7">
        <v>120.69289181091943</v>
      </c>
      <c r="D160" s="7">
        <v>124.11081232530691</v>
      </c>
      <c r="E160" s="12">
        <v>173</v>
      </c>
    </row>
    <row r="161" spans="2:5" ht="15.75">
      <c r="B161" s="14">
        <v>128.4467859653143</v>
      </c>
      <c r="C161" s="7">
        <v>121.5677122964624</v>
      </c>
      <c r="D161" s="7">
        <v>125.00724913088834</v>
      </c>
      <c r="E161" s="12">
        <v>174</v>
      </c>
    </row>
    <row r="162" spans="2:5" ht="15.75">
      <c r="B162" s="16">
        <v>129.36112286136103</v>
      </c>
      <c r="C162" s="9">
        <v>122.4397940183499</v>
      </c>
      <c r="D162" s="9">
        <v>125.90045843985547</v>
      </c>
      <c r="E162" s="13">
        <v>175</v>
      </c>
    </row>
    <row r="163" spans="2:5" ht="15.75">
      <c r="B163" s="14">
        <v>130.27170747015015</v>
      </c>
      <c r="C163" s="7">
        <v>123.30910250804789</v>
      </c>
      <c r="D163" s="7">
        <v>126.79040498909902</v>
      </c>
      <c r="E163" s="12">
        <v>176</v>
      </c>
    </row>
    <row r="164" spans="2:5" ht="15.75">
      <c r="B164" s="14">
        <v>131.1785051738902</v>
      </c>
      <c r="C164" s="7">
        <v>124.17560435309635</v>
      </c>
      <c r="D164" s="7">
        <v>127.67705476349326</v>
      </c>
      <c r="E164" s="12">
        <v>177</v>
      </c>
    </row>
    <row r="165" spans="2:5" ht="15.75">
      <c r="B165" s="14">
        <v>132.08148277157235</v>
      </c>
      <c r="C165" s="7">
        <v>125.03926718296847</v>
      </c>
      <c r="D165" s="7">
        <v>128.5603749772704</v>
      </c>
      <c r="E165" s="12">
        <v>178</v>
      </c>
    </row>
    <row r="166" spans="2:5" ht="15.75">
      <c r="B166" s="14">
        <v>132.98060845581682</v>
      </c>
      <c r="C166" s="7">
        <v>125.90005965487906</v>
      </c>
      <c r="D166" s="7">
        <v>129.44033405534793</v>
      </c>
      <c r="E166" s="12">
        <v>179</v>
      </c>
    </row>
    <row r="167" spans="2:5" ht="15.75">
      <c r="B167" s="14">
        <v>133.87585178969306</v>
      </c>
      <c r="C167" s="7">
        <v>126.75795143955158</v>
      </c>
      <c r="D167" s="7">
        <v>130.31690161462234</v>
      </c>
      <c r="E167" s="12">
        <v>180</v>
      </c>
    </row>
    <row r="168" spans="2:5" ht="15.75">
      <c r="B168" s="14">
        <v>134.76718368353158</v>
      </c>
      <c r="C168" s="7">
        <v>127.61291320695379</v>
      </c>
      <c r="D168" s="7">
        <v>131.1900484452427</v>
      </c>
      <c r="E168" s="12">
        <v>181</v>
      </c>
    </row>
    <row r="169" spans="2:5" ht="15.75">
      <c r="B169" s="16">
        <v>135.65457637174404</v>
      </c>
      <c r="C169" s="9">
        <v>128.46491661201026</v>
      </c>
      <c r="D169" s="9">
        <v>132.05974649187715</v>
      </c>
      <c r="E169" s="13">
        <v>182</v>
      </c>
    </row>
    <row r="170" spans="2:5" ht="15.75">
      <c r="B170" s="14">
        <v>136.5380033896667</v>
      </c>
      <c r="C170" s="7">
        <v>129.31393428030117</v>
      </c>
      <c r="D170" s="7">
        <v>132.92596883498393</v>
      </c>
      <c r="E170" s="12">
        <v>183</v>
      </c>
    </row>
    <row r="171" spans="2:5" ht="15.75">
      <c r="B171" s="14">
        <v>137.4174395504436</v>
      </c>
      <c r="C171" s="7">
        <v>130.15993979375526</v>
      </c>
      <c r="D171" s="7">
        <v>133.78868967209942</v>
      </c>
      <c r="E171" s="12">
        <v>184</v>
      </c>
    </row>
    <row r="172" spans="2:5" ht="15.75">
      <c r="B172" s="14">
        <v>138.29286092196307</v>
      </c>
      <c r="C172" s="7">
        <v>131.00290767634561</v>
      </c>
      <c r="D172" s="7">
        <v>134.64788429915433</v>
      </c>
      <c r="E172" s="12">
        <v>185</v>
      </c>
    </row>
    <row r="173" spans="2:5" ht="15.75">
      <c r="B173" s="14">
        <v>139.1642448038624</v>
      </c>
      <c r="C173" s="7">
        <v>131.8428133797958</v>
      </c>
      <c r="D173" s="7">
        <v>135.5035290918291</v>
      </c>
      <c r="E173" s="12">
        <v>186</v>
      </c>
    </row>
    <row r="174" spans="2:5" ht="15.75">
      <c r="B174" s="14">
        <v>140.03156970461322</v>
      </c>
      <c r="C174" s="7">
        <v>132.6796332693038</v>
      </c>
      <c r="D174" s="7">
        <v>136.3556014869585</v>
      </c>
      <c r="E174" s="12">
        <v>187</v>
      </c>
    </row>
    <row r="175" spans="2:5" ht="15.75">
      <c r="B175" s="14">
        <v>140.89481531870092</v>
      </c>
      <c r="C175" s="7">
        <v>133.51334460929138</v>
      </c>
      <c r="D175" s="7">
        <v>137.20407996399615</v>
      </c>
      <c r="E175" s="12">
        <v>188</v>
      </c>
    </row>
    <row r="176" spans="2:5" ht="15.75">
      <c r="B176" s="16">
        <v>141.75396250391026</v>
      </c>
      <c r="C176" s="9">
        <v>134.3439255491858</v>
      </c>
      <c r="D176" s="9">
        <v>138.04894402654804</v>
      </c>
      <c r="E176" s="13">
        <v>189</v>
      </c>
    </row>
    <row r="177" spans="2:5" ht="15.75">
      <c r="B177" s="14">
        <v>142.60899325872853</v>
      </c>
      <c r="C177" s="7">
        <v>135.1713551092402</v>
      </c>
      <c r="D177" s="7">
        <v>138.89017418398436</v>
      </c>
      <c r="E177" s="12">
        <v>190</v>
      </c>
    </row>
    <row r="178" spans="2:5" ht="15.75">
      <c r="B178" s="14">
        <v>143.45989069987715</v>
      </c>
      <c r="C178" s="7">
        <v>135.9956131663999</v>
      </c>
      <c r="D178" s="7">
        <v>139.7277519331385</v>
      </c>
      <c r="E178" s="12">
        <v>191</v>
      </c>
    </row>
    <row r="179" spans="2:5" ht="15.75">
      <c r="B179" s="14">
        <v>144.30663903998277</v>
      </c>
      <c r="C179" s="7">
        <v>136.81668044021964</v>
      </c>
      <c r="D179" s="7">
        <v>140.56165974010122</v>
      </c>
      <c r="E179" s="12">
        <v>192</v>
      </c>
    </row>
    <row r="180" spans="2:5" ht="15.75">
      <c r="B180" s="14">
        <v>145.14922356539736</v>
      </c>
      <c r="C180" s="7">
        <v>137.6345384788391</v>
      </c>
      <c r="D180" s="7">
        <v>141.39188102211824</v>
      </c>
      <c r="E180" s="12">
        <v>193</v>
      </c>
    </row>
    <row r="181" spans="2:5" ht="15.75">
      <c r="B181" s="14">
        <v>145.98763061417645</v>
      </c>
      <c r="C181" s="7">
        <v>138.4491696450212</v>
      </c>
      <c r="D181" s="7">
        <v>142.21840012959882</v>
      </c>
      <c r="E181" s="12">
        <v>194</v>
      </c>
    </row>
    <row r="182" spans="2:5" ht="15.75">
      <c r="B182" s="14">
        <v>146.82184755422534</v>
      </c>
      <c r="C182" s="7">
        <v>139.2605571022591</v>
      </c>
      <c r="D182" s="7">
        <v>143.0412023282422</v>
      </c>
      <c r="E182" s="12">
        <v>195</v>
      </c>
    </row>
    <row r="183" spans="2:5" ht="15.75">
      <c r="B183" s="16">
        <v>147.65186276162044</v>
      </c>
      <c r="C183" s="9">
        <v>140.06868480095736</v>
      </c>
      <c r="D183" s="9">
        <v>143.8602737812889</v>
      </c>
      <c r="E183" s="13">
        <v>196</v>
      </c>
    </row>
    <row r="184" spans="2:5" ht="15.75">
      <c r="B184" s="14">
        <v>148.47766559911474</v>
      </c>
      <c r="C184" s="7">
        <v>140.87353746469137</v>
      </c>
      <c r="D184" s="7">
        <v>144.67560153190306</v>
      </c>
      <c r="E184" s="12">
        <v>197</v>
      </c>
    </row>
    <row r="185" spans="2:5" ht="15.75">
      <c r="B185" s="14">
        <v>149.29924639483414</v>
      </c>
      <c r="C185" s="7">
        <v>141.67510057655076</v>
      </c>
      <c r="D185" s="7">
        <v>145.48717348569247</v>
      </c>
      <c r="E185" s="12">
        <v>198</v>
      </c>
    </row>
    <row r="186" spans="2:5" ht="15.75">
      <c r="B186" s="14">
        <v>150.11659642117198</v>
      </c>
      <c r="C186" s="7">
        <v>142.47336036557044</v>
      </c>
      <c r="D186" s="7">
        <v>146.29497839337122</v>
      </c>
      <c r="E186" s="12">
        <v>199</v>
      </c>
    </row>
    <row r="187" spans="2:5" ht="16.5" thickBot="1">
      <c r="B187" s="17">
        <v>150.92970787388788</v>
      </c>
      <c r="C187" s="18">
        <v>143.26830379325406</v>
      </c>
      <c r="D187" s="18">
        <v>147.09900583357094</v>
      </c>
      <c r="E187" s="19">
        <v>200</v>
      </c>
    </row>
  </sheetData>
  <sheetProtection password="9871" sheet="1" objects="1" scenarios="1"/>
  <mergeCells count="3">
    <mergeCell ref="E3:E4"/>
    <mergeCell ref="B2:E2"/>
    <mergeCell ref="B3:D3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Z44"/>
  <sheetViews>
    <sheetView showGridLines="0" zoomScale="85" zoomScaleNormal="85" zoomScaleSheetLayoutView="100" zoomScalePageLayoutView="0" workbookViewId="0" topLeftCell="A1">
      <selection activeCell="X17" sqref="X17"/>
    </sheetView>
  </sheetViews>
  <sheetFormatPr defaultColWidth="6.8515625" defaultRowHeight="15"/>
  <cols>
    <col min="1" max="21" width="6.140625" style="20" customWidth="1"/>
    <col min="22" max="22" width="1.1484375" style="57" customWidth="1"/>
    <col min="23" max="24" width="6.8515625" style="20" customWidth="1"/>
    <col min="25" max="26" width="11.00390625" style="20" bestFit="1" customWidth="1"/>
    <col min="27" max="16384" width="6.8515625" style="20" customWidth="1"/>
  </cols>
  <sheetData>
    <row r="1" spans="14:21" ht="64.5" customHeight="1">
      <c r="N1" s="92"/>
      <c r="O1" s="92"/>
      <c r="P1" s="92"/>
      <c r="Q1" s="92"/>
      <c r="R1" s="92"/>
      <c r="S1" s="92"/>
      <c r="T1" s="137">
        <f ca="1">YEAR(TODAY())</f>
        <v>2018</v>
      </c>
      <c r="U1" s="137"/>
    </row>
    <row r="2" spans="1:26" ht="12.75" customHeight="1">
      <c r="A2" s="132" t="s">
        <v>18</v>
      </c>
      <c r="B2" s="133"/>
      <c r="C2" s="133"/>
      <c r="D2" s="133"/>
      <c r="E2" s="133"/>
      <c r="F2" s="133"/>
      <c r="G2" s="134"/>
      <c r="H2" s="132" t="s">
        <v>26</v>
      </c>
      <c r="I2" s="133"/>
      <c r="J2" s="133"/>
      <c r="K2" s="133"/>
      <c r="L2" s="133"/>
      <c r="M2" s="133"/>
      <c r="N2" s="134"/>
      <c r="O2" s="132" t="s">
        <v>27</v>
      </c>
      <c r="P2" s="133"/>
      <c r="Q2" s="133"/>
      <c r="R2" s="133"/>
      <c r="S2" s="133"/>
      <c r="T2" s="133"/>
      <c r="U2" s="134"/>
      <c r="V2" s="24"/>
      <c r="W2" s="135" t="s">
        <v>41</v>
      </c>
      <c r="X2" s="136"/>
      <c r="Y2" s="131" t="s">
        <v>6</v>
      </c>
      <c r="Z2" s="131" t="s">
        <v>16</v>
      </c>
    </row>
    <row r="3" spans="1:26" ht="12.75" customHeight="1">
      <c r="A3" s="25" t="s">
        <v>19</v>
      </c>
      <c r="B3" s="26" t="s">
        <v>20</v>
      </c>
      <c r="C3" s="26" t="s">
        <v>21</v>
      </c>
      <c r="D3" s="26" t="s">
        <v>22</v>
      </c>
      <c r="E3" s="26" t="s">
        <v>23</v>
      </c>
      <c r="F3" s="26" t="s">
        <v>24</v>
      </c>
      <c r="G3" s="27" t="s">
        <v>25</v>
      </c>
      <c r="H3" s="25" t="s">
        <v>19</v>
      </c>
      <c r="I3" s="26" t="s">
        <v>20</v>
      </c>
      <c r="J3" s="26" t="s">
        <v>21</v>
      </c>
      <c r="K3" s="26" t="s">
        <v>22</v>
      </c>
      <c r="L3" s="26" t="s">
        <v>23</v>
      </c>
      <c r="M3" s="26" t="s">
        <v>24</v>
      </c>
      <c r="N3" s="27" t="s">
        <v>25</v>
      </c>
      <c r="O3" s="25" t="s">
        <v>19</v>
      </c>
      <c r="P3" s="26" t="s">
        <v>20</v>
      </c>
      <c r="Q3" s="26" t="s">
        <v>21</v>
      </c>
      <c r="R3" s="26" t="s">
        <v>22</v>
      </c>
      <c r="S3" s="26" t="s">
        <v>23</v>
      </c>
      <c r="T3" s="26" t="s">
        <v>24</v>
      </c>
      <c r="U3" s="27" t="s">
        <v>25</v>
      </c>
      <c r="V3" s="28"/>
      <c r="W3" s="29" t="s">
        <v>5</v>
      </c>
      <c r="X3" s="29" t="s">
        <v>42</v>
      </c>
      <c r="Y3" s="131"/>
      <c r="Z3" s="131"/>
    </row>
    <row r="4" spans="1:26" ht="12.75" customHeight="1">
      <c r="A4" s="30"/>
      <c r="B4" s="31">
        <v>43101</v>
      </c>
      <c r="C4" s="31">
        <v>43102</v>
      </c>
      <c r="D4" s="31">
        <v>43103</v>
      </c>
      <c r="E4" s="31">
        <v>43104</v>
      </c>
      <c r="F4" s="31">
        <v>43105</v>
      </c>
      <c r="G4" s="32">
        <v>43106</v>
      </c>
      <c r="H4" s="30"/>
      <c r="I4" s="33"/>
      <c r="J4" s="33"/>
      <c r="K4" s="33"/>
      <c r="L4" s="31">
        <v>43132</v>
      </c>
      <c r="M4" s="31">
        <v>43133</v>
      </c>
      <c r="N4" s="32">
        <v>43134</v>
      </c>
      <c r="O4" s="30"/>
      <c r="P4" s="33"/>
      <c r="Q4" s="33"/>
      <c r="R4" s="33"/>
      <c r="S4" s="31">
        <v>43160</v>
      </c>
      <c r="T4" s="31">
        <v>43161</v>
      </c>
      <c r="U4" s="32">
        <v>43162</v>
      </c>
      <c r="V4" s="34"/>
      <c r="W4" s="35" t="s">
        <v>43</v>
      </c>
      <c r="X4" s="36" t="s">
        <v>44</v>
      </c>
      <c r="Y4" s="37" t="str">
        <f>IF('Seasonal Formulation'!P12="Don't Change","Don't Change",_xlfn.IFERROR(DATE(YEAR('Seasonal Formulation'!P12),MONTH('Seasonal Formulation'!P12),DAY('Seasonal Formulation'!P12)),"No Data"))</f>
        <v>Don't Change</v>
      </c>
      <c r="Z4" s="37" t="str">
        <f>IF('Seasonal Formulation'!Q12="Don't Change","Don't Change",_xlfn.IFERROR(DATE(YEAR('Seasonal Formulation'!Q12),MONTH('Seasonal Formulation'!Q12),DAY('Seasonal Formulation'!Q12)),"No Data"))</f>
        <v>Don't Change</v>
      </c>
    </row>
    <row r="5" spans="1:26" ht="12.75" customHeight="1">
      <c r="A5" s="38">
        <v>43107</v>
      </c>
      <c r="B5" s="39">
        <v>43108</v>
      </c>
      <c r="C5" s="39">
        <v>43109</v>
      </c>
      <c r="D5" s="39">
        <v>43110</v>
      </c>
      <c r="E5" s="39">
        <v>43111</v>
      </c>
      <c r="F5" s="39">
        <v>43112</v>
      </c>
      <c r="G5" s="40">
        <v>43113</v>
      </c>
      <c r="H5" s="38">
        <v>43135</v>
      </c>
      <c r="I5" s="39">
        <v>43136</v>
      </c>
      <c r="J5" s="39">
        <v>43137</v>
      </c>
      <c r="K5" s="39">
        <v>43138</v>
      </c>
      <c r="L5" s="39">
        <v>43139</v>
      </c>
      <c r="M5" s="39">
        <v>43140</v>
      </c>
      <c r="N5" s="40">
        <v>43141</v>
      </c>
      <c r="O5" s="38">
        <v>43163</v>
      </c>
      <c r="P5" s="39">
        <v>43164</v>
      </c>
      <c r="Q5" s="39">
        <v>43165</v>
      </c>
      <c r="R5" s="39">
        <v>43166</v>
      </c>
      <c r="S5" s="39">
        <v>43167</v>
      </c>
      <c r="T5" s="39">
        <v>43168</v>
      </c>
      <c r="U5" s="40">
        <v>43169</v>
      </c>
      <c r="V5" s="34"/>
      <c r="W5" s="35" t="s">
        <v>45</v>
      </c>
      <c r="X5" s="41" t="s">
        <v>44</v>
      </c>
      <c r="Y5" s="37" t="str">
        <f>IF('Seasonal Formulation'!P13="Don't Change","Don't Change",_xlfn.IFERROR(DATE(YEAR('Seasonal Formulation'!P13),MONTH('Seasonal Formulation'!P13),DAY('Seasonal Formulation'!P13)),"No Data"))</f>
        <v>Don't Change</v>
      </c>
      <c r="Z5" s="37" t="str">
        <f>IF('Seasonal Formulation'!Q13="Don't Change","Don't Change",_xlfn.IFERROR(DATE(YEAR('Seasonal Formulation'!Q13),MONTH('Seasonal Formulation'!Q13),DAY('Seasonal Formulation'!Q13)),"No Data"))</f>
        <v>Don't Change</v>
      </c>
    </row>
    <row r="6" spans="1:26" ht="12.75" customHeight="1">
      <c r="A6" s="38">
        <v>43114</v>
      </c>
      <c r="B6" s="39">
        <v>43115</v>
      </c>
      <c r="C6" s="39">
        <v>43116</v>
      </c>
      <c r="D6" s="39">
        <v>43117</v>
      </c>
      <c r="E6" s="39">
        <v>43118</v>
      </c>
      <c r="F6" s="39">
        <v>43119</v>
      </c>
      <c r="G6" s="40">
        <v>43120</v>
      </c>
      <c r="H6" s="38">
        <v>43142</v>
      </c>
      <c r="I6" s="39">
        <v>43143</v>
      </c>
      <c r="J6" s="39">
        <v>43144</v>
      </c>
      <c r="K6" s="39">
        <v>43145</v>
      </c>
      <c r="L6" s="39">
        <v>43146</v>
      </c>
      <c r="M6" s="39">
        <v>43147</v>
      </c>
      <c r="N6" s="40">
        <v>43148</v>
      </c>
      <c r="O6" s="38">
        <v>43170</v>
      </c>
      <c r="P6" s="39">
        <v>43171</v>
      </c>
      <c r="Q6" s="39">
        <v>43172</v>
      </c>
      <c r="R6" s="39">
        <v>43173</v>
      </c>
      <c r="S6" s="39">
        <v>43174</v>
      </c>
      <c r="T6" s="39">
        <v>43175</v>
      </c>
      <c r="U6" s="40">
        <v>43176</v>
      </c>
      <c r="V6" s="34"/>
      <c r="W6" s="35" t="s">
        <v>46</v>
      </c>
      <c r="X6" s="42" t="s">
        <v>44</v>
      </c>
      <c r="Y6" s="37" t="str">
        <f>IF('Seasonal Formulation'!P14="Don't Change","Don't Change",_xlfn.IFERROR(DATE(YEAR('Seasonal Formulation'!P14),MONTH('Seasonal Formulation'!P14),DAY('Seasonal Formulation'!P14)),"No Data"))</f>
        <v>Don't Change</v>
      </c>
      <c r="Z6" s="37" t="str">
        <f>IF('Seasonal Formulation'!Q14="Don't Change","Don't Change",_xlfn.IFERROR(DATE(YEAR('Seasonal Formulation'!Q14),MONTH('Seasonal Formulation'!Q14),DAY('Seasonal Formulation'!Q14)),"No Data"))</f>
        <v>Don't Change</v>
      </c>
    </row>
    <row r="7" spans="1:26" ht="12.75" customHeight="1">
      <c r="A7" s="38">
        <v>43121</v>
      </c>
      <c r="B7" s="39">
        <v>43122</v>
      </c>
      <c r="C7" s="39">
        <v>43123</v>
      </c>
      <c r="D7" s="39">
        <v>43124</v>
      </c>
      <c r="E7" s="39">
        <v>43125</v>
      </c>
      <c r="F7" s="39">
        <v>43126</v>
      </c>
      <c r="G7" s="40">
        <v>43127</v>
      </c>
      <c r="H7" s="38">
        <v>43149</v>
      </c>
      <c r="I7" s="39">
        <v>43150</v>
      </c>
      <c r="J7" s="39">
        <v>43151</v>
      </c>
      <c r="K7" s="39">
        <v>43152</v>
      </c>
      <c r="L7" s="39">
        <v>43153</v>
      </c>
      <c r="M7" s="39">
        <v>43154</v>
      </c>
      <c r="N7" s="40">
        <v>43155</v>
      </c>
      <c r="O7" s="38">
        <v>43177</v>
      </c>
      <c r="P7" s="39">
        <v>43178</v>
      </c>
      <c r="Q7" s="39">
        <v>43179</v>
      </c>
      <c r="R7" s="39">
        <v>43180</v>
      </c>
      <c r="S7" s="39">
        <v>43181</v>
      </c>
      <c r="T7" s="39">
        <v>43182</v>
      </c>
      <c r="U7" s="40">
        <v>43183</v>
      </c>
      <c r="V7" s="34"/>
      <c r="W7" s="35" t="s">
        <v>47</v>
      </c>
      <c r="X7" s="43" t="s">
        <v>44</v>
      </c>
      <c r="Y7" s="37" t="str">
        <f>IF('Seasonal Formulation'!P15="Don't Change","Don't Change",_xlfn.IFERROR(DATE(YEAR('Seasonal Formulation'!P15),MONTH('Seasonal Formulation'!P15),DAY('Seasonal Formulation'!P15)),"No Data"))</f>
        <v>Don't Change</v>
      </c>
      <c r="Z7" s="37" t="str">
        <f>IF('Seasonal Formulation'!Q15="Don't Change","Don't Change",_xlfn.IFERROR(DATE(YEAR('Seasonal Formulation'!Q15),MONTH('Seasonal Formulation'!Q15),DAY('Seasonal Formulation'!Q15)),"No Data"))</f>
        <v>Don't Change</v>
      </c>
    </row>
    <row r="8" spans="1:26" ht="12.75" customHeight="1">
      <c r="A8" s="38">
        <v>43128</v>
      </c>
      <c r="B8" s="39">
        <v>43129</v>
      </c>
      <c r="C8" s="39">
        <v>43130</v>
      </c>
      <c r="D8" s="39">
        <v>43131</v>
      </c>
      <c r="E8" s="44"/>
      <c r="F8" s="44"/>
      <c r="G8" s="45"/>
      <c r="H8" s="38">
        <v>43156</v>
      </c>
      <c r="I8" s="39">
        <v>43157</v>
      </c>
      <c r="J8" s="39">
        <v>43158</v>
      </c>
      <c r="K8" s="39">
        <v>43159</v>
      </c>
      <c r="L8" s="44"/>
      <c r="M8" s="44"/>
      <c r="N8" s="45"/>
      <c r="O8" s="38">
        <v>43184</v>
      </c>
      <c r="P8" s="39">
        <v>43185</v>
      </c>
      <c r="Q8" s="39">
        <v>43186</v>
      </c>
      <c r="R8" s="39">
        <v>43187</v>
      </c>
      <c r="S8" s="39">
        <v>43188</v>
      </c>
      <c r="T8" s="39">
        <v>43189</v>
      </c>
      <c r="U8" s="40">
        <v>43190</v>
      </c>
      <c r="V8" s="34"/>
      <c r="W8" s="35" t="s">
        <v>48</v>
      </c>
      <c r="X8" s="46" t="s">
        <v>44</v>
      </c>
      <c r="Y8" s="37">
        <f>IF('Seasonal Formulation'!P16="Don't Change","Don't Change",_xlfn.IFERROR(DATE(YEAR('Seasonal Formulation'!P16),MONTH('Seasonal Formulation'!P16),DAY('Seasonal Formulation'!P16)),"No Data"))</f>
        <v>43137</v>
      </c>
      <c r="Z8" s="37">
        <f>IF('Seasonal Formulation'!Q16="Don't Change","Don't Change",_xlfn.IFERROR(DATE(YEAR('Seasonal Formulation'!Q16),MONTH('Seasonal Formulation'!Q16),DAY('Seasonal Formulation'!Q16)),"No Data"))</f>
        <v>43229</v>
      </c>
    </row>
    <row r="9" spans="1:26" ht="12.75" customHeight="1">
      <c r="A9" s="132" t="s">
        <v>28</v>
      </c>
      <c r="B9" s="133"/>
      <c r="C9" s="133"/>
      <c r="D9" s="133"/>
      <c r="E9" s="133"/>
      <c r="F9" s="133"/>
      <c r="G9" s="134"/>
      <c r="H9" s="132" t="s">
        <v>29</v>
      </c>
      <c r="I9" s="133"/>
      <c r="J9" s="133"/>
      <c r="K9" s="133"/>
      <c r="L9" s="133"/>
      <c r="M9" s="133"/>
      <c r="N9" s="134"/>
      <c r="O9" s="132" t="s">
        <v>30</v>
      </c>
      <c r="P9" s="133"/>
      <c r="Q9" s="133"/>
      <c r="R9" s="133"/>
      <c r="S9" s="133"/>
      <c r="T9" s="133"/>
      <c r="U9" s="134"/>
      <c r="V9" s="28"/>
      <c r="W9" s="35" t="s">
        <v>49</v>
      </c>
      <c r="X9" s="47" t="s">
        <v>44</v>
      </c>
      <c r="Y9" s="37">
        <f>IF('Seasonal Formulation'!P17="Don't Change","Don't Change",_xlfn.IFERROR(DATE(YEAR('Seasonal Formulation'!P17),MONTH('Seasonal Formulation'!P17),DAY('Seasonal Formulation'!P17)),"No Data"))</f>
        <v>43145</v>
      </c>
      <c r="Z9" s="37">
        <f>IF('Seasonal Formulation'!Q17="Don't Change","Don't Change",_xlfn.IFERROR(DATE(YEAR('Seasonal Formulation'!Q17),MONTH('Seasonal Formulation'!Q17),DAY('Seasonal Formulation'!Q17)),"No Data"))</f>
        <v>43237</v>
      </c>
    </row>
    <row r="10" spans="1:26" ht="12.75" customHeight="1">
      <c r="A10" s="25" t="s">
        <v>19</v>
      </c>
      <c r="B10" s="26" t="s">
        <v>20</v>
      </c>
      <c r="C10" s="26" t="s">
        <v>21</v>
      </c>
      <c r="D10" s="26" t="s">
        <v>22</v>
      </c>
      <c r="E10" s="26" t="s">
        <v>23</v>
      </c>
      <c r="F10" s="26" t="s">
        <v>24</v>
      </c>
      <c r="G10" s="27" t="s">
        <v>25</v>
      </c>
      <c r="H10" s="25" t="s">
        <v>19</v>
      </c>
      <c r="I10" s="26" t="s">
        <v>20</v>
      </c>
      <c r="J10" s="26" t="s">
        <v>21</v>
      </c>
      <c r="K10" s="26" t="s">
        <v>22</v>
      </c>
      <c r="L10" s="26" t="s">
        <v>23</v>
      </c>
      <c r="M10" s="26" t="s">
        <v>24</v>
      </c>
      <c r="N10" s="27" t="s">
        <v>25</v>
      </c>
      <c r="O10" s="25" t="s">
        <v>19</v>
      </c>
      <c r="P10" s="26" t="s">
        <v>20</v>
      </c>
      <c r="Q10" s="26" t="s">
        <v>21</v>
      </c>
      <c r="R10" s="26" t="s">
        <v>22</v>
      </c>
      <c r="S10" s="26" t="s">
        <v>23</v>
      </c>
      <c r="T10" s="26" t="s">
        <v>24</v>
      </c>
      <c r="U10" s="27" t="s">
        <v>25</v>
      </c>
      <c r="V10" s="24"/>
      <c r="W10" s="35" t="s">
        <v>50</v>
      </c>
      <c r="X10" s="48" t="s">
        <v>44</v>
      </c>
      <c r="Y10" s="37">
        <f>IF('Seasonal Formulation'!P18="Don't Change","Don't Change",_xlfn.IFERROR(DATE(YEAR('Seasonal Formulation'!P18),MONTH('Seasonal Formulation'!P18),DAY('Seasonal Formulation'!P18)),"No Data"))</f>
        <v>43178</v>
      </c>
      <c r="Z10" s="37">
        <f>IF('Seasonal Formulation'!Q18="Don't Change","Don't Change",_xlfn.IFERROR(DATE(YEAR('Seasonal Formulation'!Q18),MONTH('Seasonal Formulation'!Q18),DAY('Seasonal Formulation'!Q18)),"No Data"))</f>
        <v>43270</v>
      </c>
    </row>
    <row r="11" spans="1:26" ht="12.75" customHeight="1">
      <c r="A11" s="49">
        <v>43191</v>
      </c>
      <c r="B11" s="31">
        <v>43192</v>
      </c>
      <c r="C11" s="31">
        <v>43193</v>
      </c>
      <c r="D11" s="31">
        <v>43194</v>
      </c>
      <c r="E11" s="31">
        <v>43195</v>
      </c>
      <c r="F11" s="31">
        <v>43196</v>
      </c>
      <c r="G11" s="32">
        <v>43197</v>
      </c>
      <c r="H11" s="30"/>
      <c r="I11" s="33"/>
      <c r="J11" s="31">
        <v>43221</v>
      </c>
      <c r="K11" s="31">
        <v>43222</v>
      </c>
      <c r="L11" s="31">
        <v>43223</v>
      </c>
      <c r="M11" s="31">
        <v>43224</v>
      </c>
      <c r="N11" s="32">
        <v>43225</v>
      </c>
      <c r="O11" s="30"/>
      <c r="P11" s="33"/>
      <c r="Q11" s="33"/>
      <c r="R11" s="33"/>
      <c r="S11" s="33"/>
      <c r="T11" s="31">
        <v>43252</v>
      </c>
      <c r="U11" s="32">
        <v>43253</v>
      </c>
      <c r="V11" s="28"/>
      <c r="W11" s="35" t="s">
        <v>51</v>
      </c>
      <c r="X11" s="50" t="s">
        <v>44</v>
      </c>
      <c r="Y11" s="37">
        <f>IF('Seasonal Formulation'!P19="Don't Change","Don't Change",_xlfn.IFERROR(DATE(YEAR('Seasonal Formulation'!P19),MONTH('Seasonal Formulation'!P19),DAY('Seasonal Formulation'!P19)),"No Data"))</f>
        <v>43197</v>
      </c>
      <c r="Z11" s="37">
        <f>IF('Seasonal Formulation'!Q19="Don't Change","Don't Change",_xlfn.IFERROR(DATE(YEAR('Seasonal Formulation'!Q19),MONTH('Seasonal Formulation'!Q19),DAY('Seasonal Formulation'!Q19)),"No Data"))</f>
        <v>43289</v>
      </c>
    </row>
    <row r="12" spans="1:26" ht="12.75" customHeight="1">
      <c r="A12" s="38">
        <v>43198</v>
      </c>
      <c r="B12" s="39">
        <v>43199</v>
      </c>
      <c r="C12" s="39">
        <v>43200</v>
      </c>
      <c r="D12" s="39">
        <v>43201</v>
      </c>
      <c r="E12" s="39">
        <v>43202</v>
      </c>
      <c r="F12" s="39">
        <v>43203</v>
      </c>
      <c r="G12" s="40">
        <v>43204</v>
      </c>
      <c r="H12" s="38">
        <v>43226</v>
      </c>
      <c r="I12" s="39">
        <v>43227</v>
      </c>
      <c r="J12" s="39">
        <v>43228</v>
      </c>
      <c r="K12" s="39">
        <v>43229</v>
      </c>
      <c r="L12" s="39">
        <v>43230</v>
      </c>
      <c r="M12" s="39">
        <v>43231</v>
      </c>
      <c r="N12" s="40">
        <v>43232</v>
      </c>
      <c r="O12" s="38">
        <v>43254</v>
      </c>
      <c r="P12" s="39">
        <v>43255</v>
      </c>
      <c r="Q12" s="39">
        <v>43256</v>
      </c>
      <c r="R12" s="39">
        <v>43257</v>
      </c>
      <c r="S12" s="39">
        <v>43258</v>
      </c>
      <c r="T12" s="39">
        <v>43259</v>
      </c>
      <c r="U12" s="40">
        <v>43260</v>
      </c>
      <c r="V12" s="34"/>
      <c r="W12" s="35" t="s">
        <v>52</v>
      </c>
      <c r="X12" s="51" t="s">
        <v>44</v>
      </c>
      <c r="Y12" s="37">
        <f>IF('Seasonal Formulation'!P20="Don't Change","Don't Change",_xlfn.IFERROR(DATE(YEAR('Seasonal Formulation'!P20),MONTH('Seasonal Formulation'!P20),DAY('Seasonal Formulation'!P20)),"No Data"))</f>
        <v>43219</v>
      </c>
      <c r="Z12" s="37">
        <f>IF('Seasonal Formulation'!Q20="Don't Change","Don't Change",_xlfn.IFERROR(DATE(YEAR('Seasonal Formulation'!Q20),MONTH('Seasonal Formulation'!Q20),DAY('Seasonal Formulation'!Q20)),"No Data"))</f>
        <v>43311</v>
      </c>
    </row>
    <row r="13" spans="1:26" ht="12.75" customHeight="1">
      <c r="A13" s="38">
        <v>43205</v>
      </c>
      <c r="B13" s="39">
        <v>43206</v>
      </c>
      <c r="C13" s="39">
        <v>43207</v>
      </c>
      <c r="D13" s="39">
        <v>43208</v>
      </c>
      <c r="E13" s="39">
        <v>43209</v>
      </c>
      <c r="F13" s="39">
        <v>43210</v>
      </c>
      <c r="G13" s="40">
        <v>43211</v>
      </c>
      <c r="H13" s="38">
        <v>43233</v>
      </c>
      <c r="I13" s="39">
        <v>43234</v>
      </c>
      <c r="J13" s="39">
        <v>43235</v>
      </c>
      <c r="K13" s="39">
        <v>43236</v>
      </c>
      <c r="L13" s="39">
        <v>43237</v>
      </c>
      <c r="M13" s="39">
        <v>43238</v>
      </c>
      <c r="N13" s="40">
        <v>43239</v>
      </c>
      <c r="O13" s="38">
        <v>43261</v>
      </c>
      <c r="P13" s="39">
        <v>43262</v>
      </c>
      <c r="Q13" s="39">
        <v>43263</v>
      </c>
      <c r="R13" s="39">
        <v>43264</v>
      </c>
      <c r="S13" s="39">
        <v>43265</v>
      </c>
      <c r="T13" s="39">
        <v>43266</v>
      </c>
      <c r="U13" s="40">
        <v>43267</v>
      </c>
      <c r="V13" s="34"/>
      <c r="W13" s="52"/>
      <c r="X13" s="53"/>
      <c r="Y13" s="54"/>
      <c r="Z13" s="54"/>
    </row>
    <row r="14" spans="1:26" ht="12.75" customHeight="1">
      <c r="A14" s="38">
        <v>43212</v>
      </c>
      <c r="B14" s="39">
        <v>43213</v>
      </c>
      <c r="C14" s="39">
        <v>43214</v>
      </c>
      <c r="D14" s="39">
        <v>43215</v>
      </c>
      <c r="E14" s="39">
        <v>43216</v>
      </c>
      <c r="F14" s="39">
        <v>43217</v>
      </c>
      <c r="G14" s="40">
        <v>43218</v>
      </c>
      <c r="H14" s="38">
        <v>43240</v>
      </c>
      <c r="I14" s="39">
        <v>43241</v>
      </c>
      <c r="J14" s="39">
        <v>43242</v>
      </c>
      <c r="K14" s="39">
        <v>43243</v>
      </c>
      <c r="L14" s="39">
        <v>43244</v>
      </c>
      <c r="M14" s="39">
        <v>43245</v>
      </c>
      <c r="N14" s="40">
        <v>43246</v>
      </c>
      <c r="O14" s="38">
        <v>43268</v>
      </c>
      <c r="P14" s="39">
        <v>43269</v>
      </c>
      <c r="Q14" s="39">
        <v>43270</v>
      </c>
      <c r="R14" s="39">
        <v>43271</v>
      </c>
      <c r="S14" s="39">
        <v>43272</v>
      </c>
      <c r="T14" s="39">
        <v>43273</v>
      </c>
      <c r="U14" s="40">
        <v>43274</v>
      </c>
      <c r="V14" s="34"/>
      <c r="W14" s="52"/>
      <c r="X14" s="55"/>
      <c r="Y14" s="54"/>
      <c r="Z14" s="54"/>
    </row>
    <row r="15" spans="1:26" ht="12.75" customHeight="1">
      <c r="A15" s="38">
        <v>43219</v>
      </c>
      <c r="B15" s="39">
        <v>43220</v>
      </c>
      <c r="C15" s="44"/>
      <c r="D15" s="44"/>
      <c r="E15" s="44"/>
      <c r="F15" s="44"/>
      <c r="G15" s="45"/>
      <c r="H15" s="38">
        <v>43247</v>
      </c>
      <c r="I15" s="39">
        <v>43248</v>
      </c>
      <c r="J15" s="39">
        <v>43249</v>
      </c>
      <c r="K15" s="39">
        <v>43250</v>
      </c>
      <c r="L15" s="39">
        <v>43251</v>
      </c>
      <c r="M15" s="44"/>
      <c r="N15" s="45"/>
      <c r="O15" s="38">
        <v>43275</v>
      </c>
      <c r="P15" s="39">
        <v>43276</v>
      </c>
      <c r="Q15" s="39">
        <v>43277</v>
      </c>
      <c r="R15" s="39">
        <v>43278</v>
      </c>
      <c r="S15" s="39">
        <v>43279</v>
      </c>
      <c r="T15" s="39">
        <v>43280</v>
      </c>
      <c r="U15" s="40">
        <v>43281</v>
      </c>
      <c r="V15" s="34"/>
      <c r="W15" s="52"/>
      <c r="X15" s="53"/>
      <c r="Y15" s="54"/>
      <c r="Z15" s="54"/>
    </row>
    <row r="16" spans="1:24" ht="12.75" customHeight="1">
      <c r="A16" s="132" t="s">
        <v>31</v>
      </c>
      <c r="B16" s="133"/>
      <c r="C16" s="133"/>
      <c r="D16" s="133"/>
      <c r="E16" s="133"/>
      <c r="F16" s="133"/>
      <c r="G16" s="134"/>
      <c r="H16" s="132" t="s">
        <v>32</v>
      </c>
      <c r="I16" s="133"/>
      <c r="J16" s="133"/>
      <c r="K16" s="133"/>
      <c r="L16" s="133"/>
      <c r="M16" s="133"/>
      <c r="N16" s="134"/>
      <c r="O16" s="132" t="s">
        <v>33</v>
      </c>
      <c r="P16" s="133"/>
      <c r="Q16" s="133"/>
      <c r="R16" s="133"/>
      <c r="S16" s="133"/>
      <c r="T16" s="133"/>
      <c r="U16" s="134"/>
      <c r="V16" s="34"/>
      <c r="W16" s="21"/>
      <c r="X16" s="56"/>
    </row>
    <row r="17" spans="1:24" ht="12.75" customHeight="1">
      <c r="A17" s="25" t="s">
        <v>19</v>
      </c>
      <c r="B17" s="26" t="s">
        <v>20</v>
      </c>
      <c r="C17" s="26" t="s">
        <v>21</v>
      </c>
      <c r="D17" s="26" t="s">
        <v>22</v>
      </c>
      <c r="E17" s="26" t="s">
        <v>23</v>
      </c>
      <c r="F17" s="26" t="s">
        <v>24</v>
      </c>
      <c r="G17" s="27" t="s">
        <v>25</v>
      </c>
      <c r="H17" s="25" t="s">
        <v>19</v>
      </c>
      <c r="I17" s="26" t="s">
        <v>20</v>
      </c>
      <c r="J17" s="26" t="s">
        <v>21</v>
      </c>
      <c r="K17" s="26" t="s">
        <v>22</v>
      </c>
      <c r="L17" s="26" t="s">
        <v>23</v>
      </c>
      <c r="M17" s="26" t="s">
        <v>24</v>
      </c>
      <c r="N17" s="27" t="s">
        <v>25</v>
      </c>
      <c r="O17" s="25" t="s">
        <v>19</v>
      </c>
      <c r="P17" s="26" t="s">
        <v>20</v>
      </c>
      <c r="Q17" s="26" t="s">
        <v>21</v>
      </c>
      <c r="R17" s="26" t="s">
        <v>22</v>
      </c>
      <c r="S17" s="26" t="s">
        <v>23</v>
      </c>
      <c r="T17" s="26" t="s">
        <v>24</v>
      </c>
      <c r="U17" s="27" t="s">
        <v>25</v>
      </c>
      <c r="V17" s="28"/>
      <c r="W17" s="21"/>
      <c r="X17" s="21"/>
    </row>
    <row r="18" spans="1:25" ht="12.75" customHeight="1">
      <c r="A18" s="49">
        <v>43282</v>
      </c>
      <c r="B18" s="31">
        <v>43283</v>
      </c>
      <c r="C18" s="31">
        <v>43284</v>
      </c>
      <c r="D18" s="31">
        <v>43285</v>
      </c>
      <c r="E18" s="31">
        <v>43286</v>
      </c>
      <c r="F18" s="31">
        <v>43287</v>
      </c>
      <c r="G18" s="32">
        <v>43288</v>
      </c>
      <c r="H18" s="30"/>
      <c r="I18" s="33"/>
      <c r="J18" s="33"/>
      <c r="K18" s="31">
        <v>43313</v>
      </c>
      <c r="L18" s="31">
        <v>43314</v>
      </c>
      <c r="M18" s="31">
        <v>43315</v>
      </c>
      <c r="N18" s="32">
        <v>43316</v>
      </c>
      <c r="O18" s="30"/>
      <c r="P18" s="33"/>
      <c r="Q18" s="33"/>
      <c r="R18" s="33"/>
      <c r="S18" s="33"/>
      <c r="T18" s="33"/>
      <c r="U18" s="32">
        <v>43344</v>
      </c>
      <c r="V18" s="24"/>
      <c r="W18" s="22"/>
      <c r="X18" s="22"/>
      <c r="Y18" s="57"/>
    </row>
    <row r="19" spans="1:24" ht="12.75" customHeight="1">
      <c r="A19" s="38">
        <v>43289</v>
      </c>
      <c r="B19" s="39">
        <v>43290</v>
      </c>
      <c r="C19" s="39">
        <v>43291</v>
      </c>
      <c r="D19" s="39">
        <v>43292</v>
      </c>
      <c r="E19" s="39">
        <v>43293</v>
      </c>
      <c r="F19" s="39">
        <v>43294</v>
      </c>
      <c r="G19" s="40">
        <v>43295</v>
      </c>
      <c r="H19" s="38">
        <v>43317</v>
      </c>
      <c r="I19" s="39">
        <v>43318</v>
      </c>
      <c r="J19" s="39">
        <v>43319</v>
      </c>
      <c r="K19" s="39">
        <v>43320</v>
      </c>
      <c r="L19" s="39">
        <v>43321</v>
      </c>
      <c r="M19" s="39">
        <v>43322</v>
      </c>
      <c r="N19" s="40">
        <v>43323</v>
      </c>
      <c r="O19" s="38">
        <v>43345</v>
      </c>
      <c r="P19" s="39">
        <v>43346</v>
      </c>
      <c r="Q19" s="39">
        <v>43347</v>
      </c>
      <c r="R19" s="39">
        <v>43348</v>
      </c>
      <c r="S19" s="39">
        <v>43349</v>
      </c>
      <c r="T19" s="39">
        <v>43350</v>
      </c>
      <c r="U19" s="40">
        <v>43351</v>
      </c>
      <c r="V19" s="28"/>
      <c r="W19" s="24"/>
      <c r="X19" s="24"/>
    </row>
    <row r="20" spans="1:24" ht="12.75" customHeight="1">
      <c r="A20" s="38">
        <v>43296</v>
      </c>
      <c r="B20" s="39">
        <v>43297</v>
      </c>
      <c r="C20" s="39">
        <v>43298</v>
      </c>
      <c r="D20" s="39">
        <v>43299</v>
      </c>
      <c r="E20" s="39">
        <v>43300</v>
      </c>
      <c r="F20" s="39">
        <v>43301</v>
      </c>
      <c r="G20" s="40">
        <v>43302</v>
      </c>
      <c r="H20" s="38">
        <v>43324</v>
      </c>
      <c r="I20" s="39">
        <v>43325</v>
      </c>
      <c r="J20" s="39">
        <v>43326</v>
      </c>
      <c r="K20" s="39">
        <v>43327</v>
      </c>
      <c r="L20" s="39">
        <v>43328</v>
      </c>
      <c r="M20" s="39">
        <v>43329</v>
      </c>
      <c r="N20" s="40">
        <v>43330</v>
      </c>
      <c r="O20" s="38">
        <v>43352</v>
      </c>
      <c r="P20" s="39">
        <v>43353</v>
      </c>
      <c r="Q20" s="39">
        <v>43354</v>
      </c>
      <c r="R20" s="39">
        <v>43355</v>
      </c>
      <c r="S20" s="39">
        <v>43356</v>
      </c>
      <c r="T20" s="39">
        <v>43357</v>
      </c>
      <c r="U20" s="40">
        <v>43358</v>
      </c>
      <c r="V20" s="34"/>
      <c r="W20" s="22"/>
      <c r="X20" s="22"/>
    </row>
    <row r="21" spans="1:24" ht="12.75" customHeight="1">
      <c r="A21" s="38">
        <v>43303</v>
      </c>
      <c r="B21" s="39">
        <v>43304</v>
      </c>
      <c r="C21" s="39">
        <v>43305</v>
      </c>
      <c r="D21" s="39">
        <v>43306</v>
      </c>
      <c r="E21" s="39">
        <v>43307</v>
      </c>
      <c r="F21" s="39">
        <v>43308</v>
      </c>
      <c r="G21" s="40">
        <v>43309</v>
      </c>
      <c r="H21" s="38">
        <v>43331</v>
      </c>
      <c r="I21" s="39">
        <v>43332</v>
      </c>
      <c r="J21" s="39">
        <v>43333</v>
      </c>
      <c r="K21" s="39">
        <v>43334</v>
      </c>
      <c r="L21" s="39">
        <v>43335</v>
      </c>
      <c r="M21" s="39">
        <v>43336</v>
      </c>
      <c r="N21" s="40">
        <v>43337</v>
      </c>
      <c r="O21" s="38">
        <v>43359</v>
      </c>
      <c r="P21" s="39">
        <v>43360</v>
      </c>
      <c r="Q21" s="39">
        <v>43361</v>
      </c>
      <c r="R21" s="39">
        <v>43362</v>
      </c>
      <c r="S21" s="39">
        <v>43363</v>
      </c>
      <c r="T21" s="39">
        <v>43364</v>
      </c>
      <c r="U21" s="40">
        <v>43365</v>
      </c>
      <c r="V21" s="34"/>
      <c r="W21" s="21"/>
      <c r="X21" s="21"/>
    </row>
    <row r="22" spans="1:24" ht="12.75" customHeight="1">
      <c r="A22" s="38">
        <v>43310</v>
      </c>
      <c r="B22" s="39">
        <v>43311</v>
      </c>
      <c r="C22" s="39">
        <v>43312</v>
      </c>
      <c r="D22" s="44"/>
      <c r="E22" s="44"/>
      <c r="F22" s="44"/>
      <c r="G22" s="45"/>
      <c r="H22" s="38">
        <v>43338</v>
      </c>
      <c r="I22" s="39">
        <v>43339</v>
      </c>
      <c r="J22" s="39">
        <v>43340</v>
      </c>
      <c r="K22" s="39">
        <v>43341</v>
      </c>
      <c r="L22" s="39">
        <v>43342</v>
      </c>
      <c r="M22" s="39">
        <v>43343</v>
      </c>
      <c r="N22" s="45"/>
      <c r="O22" s="38">
        <v>43366</v>
      </c>
      <c r="P22" s="39">
        <v>43367</v>
      </c>
      <c r="Q22" s="39">
        <v>43368</v>
      </c>
      <c r="R22" s="39">
        <v>43369</v>
      </c>
      <c r="S22" s="39">
        <v>43370</v>
      </c>
      <c r="T22" s="39">
        <v>43371</v>
      </c>
      <c r="U22" s="40">
        <v>43372</v>
      </c>
      <c r="V22" s="34"/>
      <c r="W22" s="21"/>
      <c r="X22" s="21"/>
    </row>
    <row r="23" spans="1:24" ht="12.75" customHeight="1">
      <c r="A23" s="58"/>
      <c r="B23" s="59"/>
      <c r="C23" s="59"/>
      <c r="D23" s="59"/>
      <c r="E23" s="59"/>
      <c r="F23" s="59"/>
      <c r="G23" s="60"/>
      <c r="H23" s="58"/>
      <c r="I23" s="59"/>
      <c r="J23" s="59"/>
      <c r="K23" s="59"/>
      <c r="L23" s="59"/>
      <c r="M23" s="59"/>
      <c r="N23" s="60"/>
      <c r="O23" s="61">
        <v>43373</v>
      </c>
      <c r="P23" s="59"/>
      <c r="Q23" s="59"/>
      <c r="R23" s="59"/>
      <c r="S23" s="59"/>
      <c r="T23" s="59"/>
      <c r="U23" s="60"/>
      <c r="V23" s="34"/>
      <c r="W23" s="21"/>
      <c r="X23" s="21"/>
    </row>
    <row r="24" spans="1:24" ht="12.75" customHeight="1">
      <c r="A24" s="132" t="s">
        <v>34</v>
      </c>
      <c r="B24" s="133"/>
      <c r="C24" s="133"/>
      <c r="D24" s="133"/>
      <c r="E24" s="133"/>
      <c r="F24" s="133"/>
      <c r="G24" s="134"/>
      <c r="H24" s="132" t="s">
        <v>35</v>
      </c>
      <c r="I24" s="133"/>
      <c r="J24" s="133"/>
      <c r="K24" s="133"/>
      <c r="L24" s="133"/>
      <c r="M24" s="133"/>
      <c r="N24" s="134"/>
      <c r="O24" s="132" t="s">
        <v>36</v>
      </c>
      <c r="P24" s="133"/>
      <c r="Q24" s="133"/>
      <c r="R24" s="133"/>
      <c r="S24" s="133"/>
      <c r="T24" s="133"/>
      <c r="U24" s="134"/>
      <c r="V24" s="34"/>
      <c r="W24" s="21"/>
      <c r="X24" s="21"/>
    </row>
    <row r="25" spans="1:24" ht="12.75" customHeight="1">
      <c r="A25" s="25" t="s">
        <v>19</v>
      </c>
      <c r="B25" s="26" t="s">
        <v>20</v>
      </c>
      <c r="C25" s="26" t="s">
        <v>21</v>
      </c>
      <c r="D25" s="26" t="s">
        <v>22</v>
      </c>
      <c r="E25" s="26" t="s">
        <v>23</v>
      </c>
      <c r="F25" s="26" t="s">
        <v>24</v>
      </c>
      <c r="G25" s="27" t="s">
        <v>25</v>
      </c>
      <c r="H25" s="25" t="s">
        <v>19</v>
      </c>
      <c r="I25" s="26" t="s">
        <v>20</v>
      </c>
      <c r="J25" s="26" t="s">
        <v>21</v>
      </c>
      <c r="K25" s="26" t="s">
        <v>22</v>
      </c>
      <c r="L25" s="26" t="s">
        <v>23</v>
      </c>
      <c r="M25" s="26" t="s">
        <v>24</v>
      </c>
      <c r="N25" s="27" t="s">
        <v>25</v>
      </c>
      <c r="O25" s="25" t="s">
        <v>19</v>
      </c>
      <c r="P25" s="26" t="s">
        <v>20</v>
      </c>
      <c r="Q25" s="26" t="s">
        <v>21</v>
      </c>
      <c r="R25" s="26" t="s">
        <v>22</v>
      </c>
      <c r="S25" s="26" t="s">
        <v>23</v>
      </c>
      <c r="T25" s="26" t="s">
        <v>24</v>
      </c>
      <c r="U25" s="27" t="s">
        <v>25</v>
      </c>
      <c r="V25" s="28"/>
      <c r="W25" s="21"/>
      <c r="X25" s="21"/>
    </row>
    <row r="26" spans="1:24" ht="12.75" customHeight="1">
      <c r="A26" s="30"/>
      <c r="B26" s="31">
        <v>43374</v>
      </c>
      <c r="C26" s="31">
        <v>43375</v>
      </c>
      <c r="D26" s="31">
        <v>43376</v>
      </c>
      <c r="E26" s="31">
        <v>43377</v>
      </c>
      <c r="F26" s="31">
        <v>43378</v>
      </c>
      <c r="G26" s="32">
        <v>43379</v>
      </c>
      <c r="H26" s="30"/>
      <c r="I26" s="33"/>
      <c r="J26" s="33"/>
      <c r="K26" s="33"/>
      <c r="L26" s="31">
        <v>43405</v>
      </c>
      <c r="M26" s="31">
        <v>43406</v>
      </c>
      <c r="N26" s="32">
        <v>43407</v>
      </c>
      <c r="O26" s="30"/>
      <c r="P26" s="33"/>
      <c r="Q26" s="33"/>
      <c r="R26" s="33"/>
      <c r="S26" s="33"/>
      <c r="T26" s="33"/>
      <c r="U26" s="32">
        <v>43435</v>
      </c>
      <c r="V26" s="24"/>
      <c r="W26" s="22"/>
      <c r="X26" s="22"/>
    </row>
    <row r="27" spans="1:25" ht="12.75" customHeight="1">
      <c r="A27" s="38">
        <v>43380</v>
      </c>
      <c r="B27" s="39">
        <v>43381</v>
      </c>
      <c r="C27" s="39">
        <v>43382</v>
      </c>
      <c r="D27" s="39">
        <v>43383</v>
      </c>
      <c r="E27" s="39">
        <v>43384</v>
      </c>
      <c r="F27" s="39">
        <v>43385</v>
      </c>
      <c r="G27" s="40">
        <v>43386</v>
      </c>
      <c r="H27" s="38">
        <v>43408</v>
      </c>
      <c r="I27" s="39">
        <v>43409</v>
      </c>
      <c r="J27" s="39">
        <v>43410</v>
      </c>
      <c r="K27" s="39">
        <v>43411</v>
      </c>
      <c r="L27" s="39">
        <v>43412</v>
      </c>
      <c r="M27" s="39">
        <v>43413</v>
      </c>
      <c r="N27" s="40">
        <v>43414</v>
      </c>
      <c r="O27" s="38">
        <v>43436</v>
      </c>
      <c r="P27" s="39">
        <v>43437</v>
      </c>
      <c r="Q27" s="39">
        <v>43438</v>
      </c>
      <c r="R27" s="39">
        <v>43439</v>
      </c>
      <c r="S27" s="39">
        <v>43440</v>
      </c>
      <c r="T27" s="39">
        <v>43441</v>
      </c>
      <c r="U27" s="40">
        <v>43442</v>
      </c>
      <c r="V27" s="28"/>
      <c r="W27" s="24"/>
      <c r="X27" s="24"/>
      <c r="Y27" s="57"/>
    </row>
    <row r="28" spans="1:25" ht="12.75" customHeight="1">
      <c r="A28" s="38">
        <v>43387</v>
      </c>
      <c r="B28" s="39">
        <v>43388</v>
      </c>
      <c r="C28" s="39">
        <v>43389</v>
      </c>
      <c r="D28" s="39">
        <v>43390</v>
      </c>
      <c r="E28" s="39">
        <v>43391</v>
      </c>
      <c r="F28" s="39">
        <v>43392</v>
      </c>
      <c r="G28" s="40">
        <v>43393</v>
      </c>
      <c r="H28" s="38">
        <v>43415</v>
      </c>
      <c r="I28" s="39">
        <v>43416</v>
      </c>
      <c r="J28" s="39">
        <v>43417</v>
      </c>
      <c r="K28" s="39">
        <v>43418</v>
      </c>
      <c r="L28" s="39">
        <v>43419</v>
      </c>
      <c r="M28" s="39">
        <v>43420</v>
      </c>
      <c r="N28" s="40">
        <v>43421</v>
      </c>
      <c r="O28" s="38">
        <v>43443</v>
      </c>
      <c r="P28" s="39">
        <v>43444</v>
      </c>
      <c r="Q28" s="39">
        <v>43445</v>
      </c>
      <c r="R28" s="39">
        <v>43446</v>
      </c>
      <c r="S28" s="39">
        <v>43447</v>
      </c>
      <c r="T28" s="39">
        <v>43448</v>
      </c>
      <c r="U28" s="40">
        <v>43449</v>
      </c>
      <c r="V28" s="34"/>
      <c r="W28" s="28"/>
      <c r="X28" s="28"/>
      <c r="Y28" s="57"/>
    </row>
    <row r="29" spans="1:25" ht="12.75" customHeight="1">
      <c r="A29" s="38">
        <v>43394</v>
      </c>
      <c r="B29" s="39">
        <v>43395</v>
      </c>
      <c r="C29" s="39">
        <v>43396</v>
      </c>
      <c r="D29" s="39">
        <v>43397</v>
      </c>
      <c r="E29" s="39">
        <v>43398</v>
      </c>
      <c r="F29" s="39">
        <v>43399</v>
      </c>
      <c r="G29" s="40">
        <v>43400</v>
      </c>
      <c r="H29" s="38">
        <v>43422</v>
      </c>
      <c r="I29" s="39">
        <v>43423</v>
      </c>
      <c r="J29" s="39">
        <v>43424</v>
      </c>
      <c r="K29" s="39">
        <v>43425</v>
      </c>
      <c r="L29" s="39">
        <v>43426</v>
      </c>
      <c r="M29" s="39">
        <v>43427</v>
      </c>
      <c r="N29" s="40">
        <v>43428</v>
      </c>
      <c r="O29" s="38">
        <v>43450</v>
      </c>
      <c r="P29" s="39">
        <v>43451</v>
      </c>
      <c r="Q29" s="39">
        <v>43452</v>
      </c>
      <c r="R29" s="39">
        <v>43453</v>
      </c>
      <c r="S29" s="39">
        <v>43454</v>
      </c>
      <c r="T29" s="39">
        <v>43455</v>
      </c>
      <c r="U29" s="40">
        <v>43456</v>
      </c>
      <c r="V29" s="34"/>
      <c r="W29" s="34"/>
      <c r="X29" s="34"/>
      <c r="Y29" s="57"/>
    </row>
    <row r="30" spans="1:25" ht="12.75" customHeight="1">
      <c r="A30" s="38">
        <v>43401</v>
      </c>
      <c r="B30" s="39">
        <v>43402</v>
      </c>
      <c r="C30" s="39">
        <v>43403</v>
      </c>
      <c r="D30" s="39">
        <v>43404</v>
      </c>
      <c r="E30" s="44"/>
      <c r="F30" s="44"/>
      <c r="G30" s="45"/>
      <c r="H30" s="38">
        <v>43429</v>
      </c>
      <c r="I30" s="39">
        <v>43430</v>
      </c>
      <c r="J30" s="39">
        <v>43431</v>
      </c>
      <c r="K30" s="39">
        <v>43432</v>
      </c>
      <c r="L30" s="39">
        <v>43433</v>
      </c>
      <c r="M30" s="39">
        <v>43434</v>
      </c>
      <c r="N30" s="45"/>
      <c r="O30" s="38">
        <v>43457</v>
      </c>
      <c r="P30" s="39">
        <v>43458</v>
      </c>
      <c r="Q30" s="39">
        <v>43459</v>
      </c>
      <c r="R30" s="39">
        <v>43460</v>
      </c>
      <c r="S30" s="39">
        <v>43461</v>
      </c>
      <c r="T30" s="39">
        <v>43462</v>
      </c>
      <c r="U30" s="40">
        <v>43463</v>
      </c>
      <c r="V30" s="34"/>
      <c r="W30" s="34"/>
      <c r="X30" s="34"/>
      <c r="Y30" s="57"/>
    </row>
    <row r="31" spans="1:25" ht="12.75" customHeight="1">
      <c r="A31" s="58"/>
      <c r="B31" s="59"/>
      <c r="C31" s="59"/>
      <c r="D31" s="59"/>
      <c r="E31" s="59"/>
      <c r="F31" s="59"/>
      <c r="G31" s="60"/>
      <c r="H31" s="58"/>
      <c r="I31" s="59"/>
      <c r="J31" s="59"/>
      <c r="K31" s="59"/>
      <c r="L31" s="59"/>
      <c r="M31" s="59"/>
      <c r="N31" s="60"/>
      <c r="O31" s="61">
        <v>43464</v>
      </c>
      <c r="P31" s="62">
        <v>43465</v>
      </c>
      <c r="Q31" s="59"/>
      <c r="R31" s="59"/>
      <c r="S31" s="59"/>
      <c r="T31" s="59"/>
      <c r="U31" s="60"/>
      <c r="V31" s="34"/>
      <c r="W31" s="34"/>
      <c r="X31" s="34"/>
      <c r="Y31" s="57"/>
    </row>
    <row r="32" spans="22:25" ht="10.5">
      <c r="V32" s="34"/>
      <c r="W32" s="34"/>
      <c r="X32" s="34"/>
      <c r="Y32" s="57"/>
    </row>
    <row r="33" spans="22:25" ht="10.5">
      <c r="V33" s="34"/>
      <c r="W33" s="34"/>
      <c r="X33" s="34"/>
      <c r="Y33" s="57"/>
    </row>
    <row r="34" spans="3:25" ht="10.5">
      <c r="C34" s="23"/>
      <c r="D34" s="23"/>
      <c r="V34" s="28"/>
      <c r="W34" s="34"/>
      <c r="X34" s="34"/>
      <c r="Y34" s="57"/>
    </row>
    <row r="35" spans="3:25" ht="10.5">
      <c r="C35" s="23"/>
      <c r="D35" s="23"/>
      <c r="W35" s="28"/>
      <c r="X35" s="28"/>
      <c r="Y35" s="57"/>
    </row>
    <row r="36" spans="3:25" ht="10.5">
      <c r="C36" s="23"/>
      <c r="D36" s="23"/>
      <c r="W36" s="57"/>
      <c r="X36" s="57"/>
      <c r="Y36" s="57"/>
    </row>
    <row r="37" spans="3:25" ht="10.5">
      <c r="C37" s="23"/>
      <c r="D37" s="23"/>
      <c r="W37" s="57"/>
      <c r="X37" s="57"/>
      <c r="Y37" s="57"/>
    </row>
    <row r="38" spans="3:25" ht="10.5">
      <c r="C38" s="23"/>
      <c r="D38" s="23"/>
      <c r="W38" s="57"/>
      <c r="X38" s="57"/>
      <c r="Y38" s="57"/>
    </row>
    <row r="39" spans="3:25" ht="10.5">
      <c r="C39" s="23"/>
      <c r="D39" s="23"/>
      <c r="W39" s="57"/>
      <c r="X39" s="57"/>
      <c r="Y39" s="57"/>
    </row>
    <row r="40" spans="3:25" ht="10.5">
      <c r="C40" s="23"/>
      <c r="D40" s="23"/>
      <c r="W40" s="57"/>
      <c r="X40" s="57"/>
      <c r="Y40" s="57"/>
    </row>
    <row r="41" spans="2:25" ht="10.5">
      <c r="B41" s="20" t="s">
        <v>58</v>
      </c>
      <c r="C41" s="23" t="s">
        <v>58</v>
      </c>
      <c r="D41" s="23" t="s">
        <v>58</v>
      </c>
      <c r="W41" s="57"/>
      <c r="X41" s="57"/>
      <c r="Y41" s="57"/>
    </row>
    <row r="42" spans="2:25" ht="10.5">
      <c r="B42" s="20" t="s">
        <v>58</v>
      </c>
      <c r="C42" s="23" t="s">
        <v>58</v>
      </c>
      <c r="D42" s="23" t="s">
        <v>58</v>
      </c>
      <c r="W42" s="57"/>
      <c r="X42" s="57"/>
      <c r="Y42" s="57"/>
    </row>
    <row r="43" spans="23:25" ht="10.5">
      <c r="W43" s="57"/>
      <c r="X43" s="57"/>
      <c r="Y43" s="57"/>
    </row>
    <row r="44" spans="23:25" ht="10.5">
      <c r="W44" s="57"/>
      <c r="X44" s="57"/>
      <c r="Y44" s="57"/>
    </row>
  </sheetData>
  <sheetProtection/>
  <mergeCells count="16">
    <mergeCell ref="T1:U1"/>
    <mergeCell ref="A24:G24"/>
    <mergeCell ref="H24:N24"/>
    <mergeCell ref="O24:U24"/>
    <mergeCell ref="A9:G9"/>
    <mergeCell ref="H9:N9"/>
    <mergeCell ref="O9:U9"/>
    <mergeCell ref="A16:G16"/>
    <mergeCell ref="H16:N16"/>
    <mergeCell ref="O16:U16"/>
    <mergeCell ref="Z2:Z3"/>
    <mergeCell ref="A2:G2"/>
    <mergeCell ref="H2:N2"/>
    <mergeCell ref="O2:U2"/>
    <mergeCell ref="W2:X2"/>
    <mergeCell ref="Y2:Y3"/>
  </mergeCells>
  <conditionalFormatting sqref="A2:U31">
    <cfRule type="cellIs" priority="1" dxfId="11" operator="equal">
      <formula>$Z$4</formula>
    </cfRule>
    <cfRule type="cellIs" priority="2" dxfId="12" operator="equal">
      <formula>$Y$4</formula>
    </cfRule>
    <cfRule type="cellIs" priority="3" dxfId="13" operator="equal">
      <formula>$Z$12</formula>
    </cfRule>
    <cfRule type="cellIs" priority="4" dxfId="13" operator="equal">
      <formula>$Y$12</formula>
    </cfRule>
    <cfRule type="cellIs" priority="5" dxfId="14" operator="equal">
      <formula>$Z$11</formula>
    </cfRule>
    <cfRule type="cellIs" priority="6" dxfId="14" operator="equal">
      <formula>$Y$11</formula>
    </cfRule>
    <cfRule type="cellIs" priority="7" dxfId="15" operator="equal">
      <formula>$Z$10</formula>
    </cfRule>
    <cfRule type="cellIs" priority="8" dxfId="15" operator="equal">
      <formula>$Y$10</formula>
    </cfRule>
    <cfRule type="cellIs" priority="9" dxfId="16" operator="equal">
      <formula>$Z$9</formula>
    </cfRule>
    <cfRule type="cellIs" priority="10" dxfId="16" operator="equal">
      <formula>$Y$9</formula>
    </cfRule>
    <cfRule type="cellIs" priority="11" dxfId="17" operator="equal">
      <formula>$Z$8</formula>
    </cfRule>
    <cfRule type="cellIs" priority="12" dxfId="17" operator="equal">
      <formula>$Y$8</formula>
    </cfRule>
    <cfRule type="cellIs" priority="13" dxfId="18" operator="equal">
      <formula>$Z$7</formula>
    </cfRule>
    <cfRule type="cellIs" priority="14" dxfId="18" operator="equal">
      <formula>$Y$7</formula>
    </cfRule>
    <cfRule type="cellIs" priority="15" dxfId="19" operator="equal">
      <formula>$Z$6</formula>
    </cfRule>
    <cfRule type="cellIs" priority="16" dxfId="19" operator="equal">
      <formula>$Y$6</formula>
    </cfRule>
    <cfRule type="cellIs" priority="17" dxfId="20" operator="equal">
      <formula>$Z$5</formula>
    </cfRule>
    <cfRule type="cellIs" priority="18" dxfId="20" operator="equal">
      <formula>$Y$5</formula>
    </cfRule>
  </conditionalFormatting>
  <printOptions/>
  <pageMargins left="0.7" right="0.7" top="0.75" bottom="0.75" header="0.3" footer="0.3"/>
  <pageSetup horizontalDpi="600" verticalDpi="600" orientation="portrait" scale="54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F19"/>
  <sheetViews>
    <sheetView showGridLines="0" zoomScalePageLayoutView="0" workbookViewId="0" topLeftCell="A1">
      <selection activeCell="A2" sqref="A2:F19"/>
    </sheetView>
  </sheetViews>
  <sheetFormatPr defaultColWidth="11.421875" defaultRowHeight="15"/>
  <cols>
    <col min="1" max="1" width="34.421875" style="0" bestFit="1" customWidth="1"/>
    <col min="2" max="2" width="30.421875" style="0" bestFit="1" customWidth="1"/>
    <col min="3" max="6" width="13.8515625" style="102" customWidth="1"/>
    <col min="7" max="16384" width="8.8515625" style="0" customWidth="1"/>
  </cols>
  <sheetData>
    <row r="1" spans="1:6" ht="15">
      <c r="A1" s="108" t="s">
        <v>63</v>
      </c>
      <c r="B1" s="109" t="s">
        <v>65</v>
      </c>
      <c r="C1" s="110" t="s">
        <v>66</v>
      </c>
      <c r="D1" s="110" t="s">
        <v>68</v>
      </c>
      <c r="E1" s="110" t="s">
        <v>67</v>
      </c>
      <c r="F1" s="110" t="s">
        <v>64</v>
      </c>
    </row>
    <row r="2" spans="1:6" s="101" customFormat="1" ht="90">
      <c r="A2" s="105" t="str">
        <f>IF($C$3="","","PIC Seasonal Formulation - "&amp;Calendar!$W$12&amp;" Start")</f>
        <v>PIC Seasonal Formulation - Phase 9 Start</v>
      </c>
      <c r="B2" s="107" t="str">
        <f>IF(A2="","","PIC Seasonal Formulation Calculator"&amp;CHAR(10)&amp;"Start "&amp;Calendar!$W$12&amp;CHAR(10)&amp;'Seasonal Formulation'!$P$7&amp;": "&amp;'Seasonal Formulation'!$Q$7&amp;CHAR(10)&amp;'Seasonal Formulation'!$P$8&amp;": "&amp;'Seasonal Formulation'!$Q$8&amp;CHAR(10)&amp;"Initial Weight: "&amp;'Seasonal Formulation'!$D$20&amp;"lb"&amp;CHAR(10)&amp;"Final Weight: "&amp;'Seasonal Formulation'!$E$20&amp;"lb")</f>
        <v>PIC Seasonal Formulation Calculator
Start Phase 9
Production system: Low constraints
Gender: Barrows + Gilts
Initial Weight: 235lb
Final Weight: 290lb</v>
      </c>
      <c r="C2" s="106">
        <f>IF(OR(Calendar!$Y$12="Don't Change",Calendar!$Y$12="No Data"),"",Calendar!$Y$12)</f>
        <v>43219</v>
      </c>
      <c r="D2" s="104" t="str">
        <f aca="true" t="shared" si="0" ref="D2:D19">IF(C2="","","12:00AM")</f>
        <v>12:00AM</v>
      </c>
      <c r="E2" s="106">
        <f aca="true" t="shared" si="1" ref="E2:E19">IF(C2="","",C2+1)</f>
        <v>43220</v>
      </c>
      <c r="F2" s="104" t="str">
        <f aca="true" t="shared" si="2" ref="F2:F19">IF(D2="","","11:59PM")</f>
        <v>11:59PM</v>
      </c>
    </row>
    <row r="3" spans="1:6" s="101" customFormat="1" ht="90">
      <c r="A3" s="105" t="str">
        <f>IF($C$2="","","PIC Seasonal Formulation - "&amp;Calendar!$W$12&amp;" Finish")</f>
        <v>PIC Seasonal Formulation - Phase 9 Finish</v>
      </c>
      <c r="B3" s="107" t="str">
        <f>IF($A$2="","","PIC Seasonal Formulation Calculator"&amp;CHAR(10)&amp;"Stop "&amp;Calendar!$W$12&amp;CHAR(10)&amp;'Seasonal Formulation'!$P$7&amp;": "&amp;'Seasonal Formulation'!$Q$7&amp;CHAR(10)&amp;'Seasonal Formulation'!$P$8&amp;": "&amp;'Seasonal Formulation'!$Q$8&amp;CHAR(10)&amp;"Initial Weight: "&amp;'Seasonal Formulation'!$D$20&amp;"lb"&amp;CHAR(10)&amp;"Final Weight: "&amp;'Seasonal Formulation'!$E$20&amp;"lb")</f>
        <v>PIC Seasonal Formulation Calculator
Stop Phase 9
Production system: Low constraints
Gender: Barrows + Gilts
Initial Weight: 235lb
Final Weight: 290lb</v>
      </c>
      <c r="C3" s="106">
        <f>IF(OR(Calendar!$Z$12="Don't Change",Calendar!$Z$12="No Data"),"",Calendar!$Z$12)</f>
        <v>43311</v>
      </c>
      <c r="D3" s="104" t="str">
        <f t="shared" si="0"/>
        <v>12:00AM</v>
      </c>
      <c r="E3" s="106">
        <f t="shared" si="1"/>
        <v>43312</v>
      </c>
      <c r="F3" s="104" t="str">
        <f t="shared" si="2"/>
        <v>11:59PM</v>
      </c>
    </row>
    <row r="4" spans="1:6" s="101" customFormat="1" ht="90">
      <c r="A4" s="105" t="str">
        <f>IF($C$5="","","PIC Seasonal Formulation - "&amp;Calendar!$W$11&amp;" Start")</f>
        <v>PIC Seasonal Formulation - Phase 8 Start</v>
      </c>
      <c r="B4" s="107" t="str">
        <f>IF(A4="","","PIC Seasonal Formulation Calculator"&amp;CHAR(10)&amp;"Start "&amp;Calendar!$W$11&amp;CHAR(10)&amp;'Seasonal Formulation'!$P$7&amp;": "&amp;'Seasonal Formulation'!$Q$7&amp;CHAR(10)&amp;'Seasonal Formulation'!$P$8&amp;": "&amp;'Seasonal Formulation'!$Q$8&amp;CHAR(10)&amp;"Initial Weight: "&amp;'Seasonal Formulation'!$D$19&amp;"lb"&amp;CHAR(10)&amp;"Final Weight: "&amp;'Seasonal Formulation'!$E$19&amp;"lb")</f>
        <v>PIC Seasonal Formulation Calculator
Start Phase 8
Production system: Low constraints
Gender: Barrows + Gilts
Initial Weight: 185lb
Final Weight: 235lb</v>
      </c>
      <c r="C4" s="106">
        <f>IF(OR(Calendar!$Y$11="Don't Change",Calendar!$Y$11="No Data"),"",Calendar!$Y$11)</f>
        <v>43197</v>
      </c>
      <c r="D4" s="104" t="str">
        <f t="shared" si="0"/>
        <v>12:00AM</v>
      </c>
      <c r="E4" s="106">
        <f t="shared" si="1"/>
        <v>43198</v>
      </c>
      <c r="F4" s="104" t="str">
        <f t="shared" si="2"/>
        <v>11:59PM</v>
      </c>
    </row>
    <row r="5" spans="1:6" s="101" customFormat="1" ht="90">
      <c r="A5" s="105" t="str">
        <f>IF($C$4="","","PIC Seasonal Formulation - "&amp;Calendar!$W$11&amp;" Finish")</f>
        <v>PIC Seasonal Formulation - Phase 8 Finish</v>
      </c>
      <c r="B5" s="107" t="str">
        <f>IF(A5="","","PIC Seasonal Formulation Calculator"&amp;CHAR(10)&amp;"Stop "&amp;Calendar!$W$11&amp;CHAR(10)&amp;'Seasonal Formulation'!$P$7&amp;": "&amp;'Seasonal Formulation'!$Q$7&amp;CHAR(10)&amp;'Seasonal Formulation'!$P$8&amp;": "&amp;'Seasonal Formulation'!$Q$8&amp;CHAR(10)&amp;"Initial Weight: "&amp;'Seasonal Formulation'!$D$19&amp;"lb"&amp;CHAR(10)&amp;"Final Weight: "&amp;'Seasonal Formulation'!$E$19&amp;"lb")</f>
        <v>PIC Seasonal Formulation Calculator
Stop Phase 8
Production system: Low constraints
Gender: Barrows + Gilts
Initial Weight: 185lb
Final Weight: 235lb</v>
      </c>
      <c r="C5" s="106">
        <f>IF(OR(Calendar!$Z$11="Don't Change",Calendar!$Z$11="No Data"),"",Calendar!$Z$11)</f>
        <v>43289</v>
      </c>
      <c r="D5" s="104" t="str">
        <f t="shared" si="0"/>
        <v>12:00AM</v>
      </c>
      <c r="E5" s="106">
        <f t="shared" si="1"/>
        <v>43290</v>
      </c>
      <c r="F5" s="104" t="str">
        <f t="shared" si="2"/>
        <v>11:59PM</v>
      </c>
    </row>
    <row r="6" spans="1:6" s="101" customFormat="1" ht="90">
      <c r="A6" s="105" t="str">
        <f>IF($C$7="","","PIC Seasonal Formulation - "&amp;Calendar!$W$10&amp;" Start")</f>
        <v>PIC Seasonal Formulation - Phase 7 Start</v>
      </c>
      <c r="B6" s="107" t="str">
        <f>IF(A6="","","PIC Seasonal Formulation Calculator"&amp;CHAR(10)&amp;"Start "&amp;Calendar!$W$10&amp;CHAR(10)&amp;'Seasonal Formulation'!$P$7&amp;": "&amp;'Seasonal Formulation'!$Q$7&amp;CHAR(10)&amp;'Seasonal Formulation'!$P$8&amp;": "&amp;'Seasonal Formulation'!$Q$8&amp;CHAR(10)&amp;"Initial Weight: "&amp;'Seasonal Formulation'!$D$18&amp;"lb"&amp;CHAR(10)&amp;"Final Weight: "&amp;'Seasonal Formulation'!$E$18&amp;"lb")</f>
        <v>PIC Seasonal Formulation Calculator
Start Phase 7
Production system: Low constraints
Gender: Barrows + Gilts
Initial Weight: 142lb
Final Weight: 185lb</v>
      </c>
      <c r="C6" s="106">
        <f>IF(OR(Calendar!$Y$10="Don't Change",Calendar!$Y$10="No Data"),"",Calendar!$Y$10)</f>
        <v>43178</v>
      </c>
      <c r="D6" s="104" t="str">
        <f t="shared" si="0"/>
        <v>12:00AM</v>
      </c>
      <c r="E6" s="106">
        <f t="shared" si="1"/>
        <v>43179</v>
      </c>
      <c r="F6" s="104" t="str">
        <f t="shared" si="2"/>
        <v>11:59PM</v>
      </c>
    </row>
    <row r="7" spans="1:6" s="101" customFormat="1" ht="90">
      <c r="A7" s="105" t="str">
        <f>IF($C$6="","","PIC Seasonal Formulation - "&amp;Calendar!$W$10&amp;" Finish")</f>
        <v>PIC Seasonal Formulation - Phase 7 Finish</v>
      </c>
      <c r="B7" s="107" t="str">
        <f>IF(A7="","","PIC Seasonal Formulation Calculator"&amp;CHAR(10)&amp;"Stop "&amp;Calendar!$W$10&amp;CHAR(10)&amp;'Seasonal Formulation'!$P$7&amp;": "&amp;'Seasonal Formulation'!$Q$7&amp;CHAR(10)&amp;'Seasonal Formulation'!$P$8&amp;": "&amp;'Seasonal Formulation'!$Q$8&amp;CHAR(10)&amp;"Initial Weight: "&amp;'Seasonal Formulation'!$D$18&amp;"lb"&amp;CHAR(10)&amp;"Final Weight: "&amp;'Seasonal Formulation'!$E$18&amp;"lb")</f>
        <v>PIC Seasonal Formulation Calculator
Stop Phase 7
Production system: Low constraints
Gender: Barrows + Gilts
Initial Weight: 142lb
Final Weight: 185lb</v>
      </c>
      <c r="C7" s="106">
        <f>IF(OR(Calendar!$Z$10="Don't Change",Calendar!$Z$10="No Data"),"",Calendar!$Z$10)</f>
        <v>43270</v>
      </c>
      <c r="D7" s="104" t="str">
        <f t="shared" si="0"/>
        <v>12:00AM</v>
      </c>
      <c r="E7" s="106">
        <f t="shared" si="1"/>
        <v>43271</v>
      </c>
      <c r="F7" s="104" t="str">
        <f t="shared" si="2"/>
        <v>11:59PM</v>
      </c>
    </row>
    <row r="8" spans="1:6" s="101" customFormat="1" ht="90">
      <c r="A8" s="105" t="str">
        <f>IF($C$9="","","PIC Seasonal Formulation - "&amp;Calendar!$W$9&amp;" Start")</f>
        <v>PIC Seasonal Formulation - Phase 6 Start</v>
      </c>
      <c r="B8" s="107" t="str">
        <f>IF(A8="","","PIC Seasonal Formulation Calculator"&amp;CHAR(10)&amp;"Start "&amp;Calendar!$W$9&amp;CHAR(10)&amp;'Seasonal Formulation'!$P$7&amp;": "&amp;'Seasonal Formulation'!$Q$7&amp;CHAR(10)&amp;'Seasonal Formulation'!$P$8&amp;": "&amp;'Seasonal Formulation'!$Q$8&amp;CHAR(10)&amp;"Initial Weight: "&amp;'Seasonal Formulation'!$D$17&amp;"lb"&amp;CHAR(10)&amp;"Final Weight: "&amp;'Seasonal Formulation'!$E$17&amp;"lb")</f>
        <v>PIC Seasonal Formulation Calculator
Start Phase 6
Production system: Low constraints
Gender: Barrows + Gilts
Initial Weight: 70lb
Final Weight: 142lb</v>
      </c>
      <c r="C8" s="106">
        <f>IF(OR(Calendar!$Y$9="Don't Change",Calendar!$Y$9="No Data"),"",Calendar!$Y$9)</f>
        <v>43145</v>
      </c>
      <c r="D8" s="104" t="str">
        <f t="shared" si="0"/>
        <v>12:00AM</v>
      </c>
      <c r="E8" s="106">
        <f t="shared" si="1"/>
        <v>43146</v>
      </c>
      <c r="F8" s="104" t="str">
        <f t="shared" si="2"/>
        <v>11:59PM</v>
      </c>
    </row>
    <row r="9" spans="1:6" s="101" customFormat="1" ht="90">
      <c r="A9" s="105" t="str">
        <f>IF($C$8="","","PIC Seasonal Formulation - "&amp;Calendar!$W$9&amp;" Finish")</f>
        <v>PIC Seasonal Formulation - Phase 6 Finish</v>
      </c>
      <c r="B9" s="107" t="str">
        <f>IF(A9="","","PIC Seasonal Formulation Calculator"&amp;CHAR(10)&amp;"Stop "&amp;Calendar!$W$9&amp;CHAR(10)&amp;'Seasonal Formulation'!$P$7&amp;": "&amp;'Seasonal Formulation'!$Q$7&amp;CHAR(10)&amp;'Seasonal Formulation'!$P$8&amp;": "&amp;'Seasonal Formulation'!$Q$8&amp;CHAR(10)&amp;"Initial Weight: "&amp;'Seasonal Formulation'!$D$17&amp;"lb"&amp;CHAR(10)&amp;"Final Weight: "&amp;'Seasonal Formulation'!$E$17&amp;"lb")</f>
        <v>PIC Seasonal Formulation Calculator
Stop Phase 6
Production system: Low constraints
Gender: Barrows + Gilts
Initial Weight: 70lb
Final Weight: 142lb</v>
      </c>
      <c r="C9" s="106">
        <f>IF(OR(Calendar!$Z$9="Don't Change",Calendar!$Z$9="No Data"),"",Calendar!$Z$9)</f>
        <v>43237</v>
      </c>
      <c r="D9" s="104" t="str">
        <f t="shared" si="0"/>
        <v>12:00AM</v>
      </c>
      <c r="E9" s="106">
        <f t="shared" si="1"/>
        <v>43238</v>
      </c>
      <c r="F9" s="104" t="str">
        <f t="shared" si="2"/>
        <v>11:59PM</v>
      </c>
    </row>
    <row r="10" spans="1:6" s="101" customFormat="1" ht="90">
      <c r="A10" s="105" t="str">
        <f>IF($C$11="","","PIC Seasonal Formulation - "&amp;Calendar!$W$8&amp;" Start")</f>
        <v>PIC Seasonal Formulation - Phase 5 Start</v>
      </c>
      <c r="B10" s="107" t="str">
        <f>IF(A10="","","PIC Seasonal Formulation Calculator"&amp;CHAR(10)&amp;"Start "&amp;Calendar!$W$8&amp;CHAR(10)&amp;'Seasonal Formulation'!$P$7&amp;": "&amp;'Seasonal Formulation'!$Q$7&amp;CHAR(10)&amp;'Seasonal Formulation'!$P$8&amp;": "&amp;'Seasonal Formulation'!$Q$8&amp;CHAR(10)&amp;"Initial Weight: "&amp;'Seasonal Formulation'!$D$16&amp;"lb"&amp;CHAR(10)&amp;"Final Weight: "&amp;'Seasonal Formulation'!$E$16&amp;"lb")</f>
        <v>PIC Seasonal Formulation Calculator
Start Phase 5
Production system: Low constraints
Gender: Barrows + Gilts
Initial Weight: 55lb
Final Weight: 70lb</v>
      </c>
      <c r="C10" s="106">
        <f>IF(OR(Calendar!$Y$8="Don't Change",Calendar!$Y$8="No Data"),"",Calendar!$Y$8)</f>
        <v>43137</v>
      </c>
      <c r="D10" s="104" t="str">
        <f t="shared" si="0"/>
        <v>12:00AM</v>
      </c>
      <c r="E10" s="106">
        <f t="shared" si="1"/>
        <v>43138</v>
      </c>
      <c r="F10" s="104" t="str">
        <f t="shared" si="2"/>
        <v>11:59PM</v>
      </c>
    </row>
    <row r="11" spans="1:6" s="101" customFormat="1" ht="90">
      <c r="A11" s="105" t="str">
        <f>IF($C$10="","","PIC Seasonal Formulation - "&amp;Calendar!$W$8&amp;" Finish")</f>
        <v>PIC Seasonal Formulation - Phase 5 Finish</v>
      </c>
      <c r="B11" s="107" t="str">
        <f>IF(A11="","","PIC Seasonal Formulation Calculator"&amp;CHAR(10)&amp;"Stop "&amp;Calendar!$W$8&amp;CHAR(10)&amp;'Seasonal Formulation'!$P$7&amp;": "&amp;'Seasonal Formulation'!$Q$7&amp;CHAR(10)&amp;'Seasonal Formulation'!$P$8&amp;": "&amp;'Seasonal Formulation'!$Q$8&amp;CHAR(10)&amp;"Initial Weight: "&amp;'Seasonal Formulation'!$D$16&amp;"lb"&amp;CHAR(10)&amp;"Final Weight: "&amp;'Seasonal Formulation'!$E$16&amp;"lb")</f>
        <v>PIC Seasonal Formulation Calculator
Stop Phase 5
Production system: Low constraints
Gender: Barrows + Gilts
Initial Weight: 55lb
Final Weight: 70lb</v>
      </c>
      <c r="C11" s="106">
        <f>IF(OR(Calendar!$Z$8="Don't Change",Calendar!$Z$8="No Data"),"",Calendar!$Z$8)</f>
        <v>43229</v>
      </c>
      <c r="D11" s="104" t="str">
        <f t="shared" si="0"/>
        <v>12:00AM</v>
      </c>
      <c r="E11" s="106">
        <f t="shared" si="1"/>
        <v>43230</v>
      </c>
      <c r="F11" s="104" t="str">
        <f t="shared" si="2"/>
        <v>11:59PM</v>
      </c>
    </row>
    <row r="12" spans="1:6" s="101" customFormat="1" ht="15">
      <c r="A12" s="105">
        <f>IF($C$13="","","PIC Seasonal Formulation - "&amp;Calendar!$W$7&amp;" Start")</f>
      </c>
      <c r="B12" s="107">
        <f>IF(A12="","","PIC Seasonal Formulation Calculator"&amp;CHAR(10)&amp;"Start "&amp;Calendar!$W$7&amp;CHAR(10)&amp;'Seasonal Formulation'!$P$7&amp;": "&amp;'Seasonal Formulation'!$Q$7&amp;CHAR(10)&amp;'Seasonal Formulation'!$P$8&amp;": "&amp;'Seasonal Formulation'!$Q$8&amp;CHAR(10)&amp;"Initial Weight: "&amp;'Seasonal Formulation'!$D$15&amp;"lb"&amp;CHAR(10)&amp;"Final Weight: "&amp;'Seasonal Formulation'!$E$15&amp;"lb")</f>
      </c>
      <c r="C12" s="106">
        <f>IF(OR(Calendar!$Y$7="Don't Change",Calendar!$Y$7="No Data"),"",Calendar!$Y$7)</f>
      </c>
      <c r="D12" s="104">
        <f t="shared" si="0"/>
      </c>
      <c r="E12" s="106">
        <f t="shared" si="1"/>
      </c>
      <c r="F12" s="104">
        <f t="shared" si="2"/>
      </c>
    </row>
    <row r="13" spans="1:6" s="101" customFormat="1" ht="15">
      <c r="A13" s="105">
        <f>IF($C$12="","","PIC Seasonal Formulation - "&amp;Calendar!$W$7&amp;" Finish")</f>
      </c>
      <c r="B13" s="107">
        <f>IF(A13="","","PIC Seasonal Formulation Calculator"&amp;CHAR(10)&amp;"Stop "&amp;Calendar!$W$7&amp;CHAR(10)&amp;'Seasonal Formulation'!$P$7&amp;": "&amp;'Seasonal Formulation'!$Q$7&amp;CHAR(10)&amp;'Seasonal Formulation'!$P$8&amp;": "&amp;'Seasonal Formulation'!$Q$8&amp;CHAR(10)&amp;"Initial Weight: "&amp;'Seasonal Formulation'!$D$15&amp;"lb"&amp;CHAR(10)&amp;"Final Weight: "&amp;'Seasonal Formulation'!$E$15&amp;"lb")</f>
      </c>
      <c r="C13" s="106">
        <f>IF(OR(Calendar!$Z$7="Don't Change",Calendar!$Z$7="No Data"),"",Calendar!$Z$7)</f>
      </c>
      <c r="D13" s="104">
        <f t="shared" si="0"/>
      </c>
      <c r="E13" s="106">
        <f t="shared" si="1"/>
      </c>
      <c r="F13" s="104">
        <f t="shared" si="2"/>
      </c>
    </row>
    <row r="14" spans="1:6" s="101" customFormat="1" ht="15">
      <c r="A14" s="105">
        <f>IF($C$15="","","PIC Seasonal Formulation - "&amp;Calendar!$W$6&amp;" Start")</f>
      </c>
      <c r="B14" s="107">
        <f>IF(A14="","","PIC Seasonal Formulation Calculator"&amp;CHAR(10)&amp;"Start "&amp;Calendar!$W$6&amp;CHAR(10)&amp;'Seasonal Formulation'!$P$7&amp;": "&amp;'Seasonal Formulation'!$Q$7&amp;CHAR(10)&amp;'Seasonal Formulation'!$P$8&amp;": "&amp;'Seasonal Formulation'!$Q$8&amp;CHAR(10)&amp;"Initial Weight: "&amp;'Seasonal Formulation'!$D$14&amp;"lb"&amp;CHAR(10)&amp;"Final Weight: "&amp;'Seasonal Formulation'!$E$14&amp;"lb")</f>
      </c>
      <c r="C14" s="106">
        <f>IF(OR(Calendar!$Y$6="Don't Change",Calendar!$Y$6="No Data"),"",Calendar!$Y$6)</f>
      </c>
      <c r="D14" s="104">
        <f t="shared" si="0"/>
      </c>
      <c r="E14" s="106">
        <f t="shared" si="1"/>
      </c>
      <c r="F14" s="104">
        <f t="shared" si="2"/>
      </c>
    </row>
    <row r="15" spans="1:6" s="101" customFormat="1" ht="15">
      <c r="A15" s="105">
        <f>IF($C$14="","","PIC Seasonal Formulation - "&amp;Calendar!$W$6&amp;" Finish")</f>
      </c>
      <c r="B15" s="107">
        <f>IF(A15="","","PIC Seasonal Formulation Calculator"&amp;CHAR(10)&amp;"Stop "&amp;Calendar!$W$6&amp;CHAR(10)&amp;'Seasonal Formulation'!$P$7&amp;": "&amp;'Seasonal Formulation'!$Q$7&amp;CHAR(10)&amp;'Seasonal Formulation'!$P$8&amp;": "&amp;'Seasonal Formulation'!$Q$8&amp;CHAR(10)&amp;"Initial Weight: "&amp;'Seasonal Formulation'!$D$14&amp;"lb"&amp;CHAR(10)&amp;"Final Weight: "&amp;'Seasonal Formulation'!$E$14&amp;"lb")</f>
      </c>
      <c r="C15" s="106">
        <f>IF(OR(Calendar!$Z$6="Don't Change",Calendar!$Z$6="No Data"),"",Calendar!$Z$6)</f>
      </c>
      <c r="D15" s="104">
        <f t="shared" si="0"/>
      </c>
      <c r="E15" s="106">
        <f t="shared" si="1"/>
      </c>
      <c r="F15" s="104">
        <f t="shared" si="2"/>
      </c>
    </row>
    <row r="16" spans="1:6" s="101" customFormat="1" ht="15">
      <c r="A16" s="105">
        <f>IF(C16="","","PIC Seasonal Formulation - "&amp;Calendar!W5&amp;" Start")</f>
      </c>
      <c r="B16" s="107">
        <f>IF(A16="","","PIC Seasonal Formulation Calculator"&amp;CHAR(10)&amp;"Start "&amp;Calendar!$W$5&amp;CHAR(10)&amp;'Seasonal Formulation'!$P$7&amp;": "&amp;'Seasonal Formulation'!$Q$7&amp;CHAR(10)&amp;'Seasonal Formulation'!$P$8&amp;": "&amp;'Seasonal Formulation'!$Q$8&amp;CHAR(10)&amp;"Initial Weight: "&amp;'Seasonal Formulation'!$D$13&amp;"lb"&amp;CHAR(10)&amp;"Final Weight: "&amp;'Seasonal Formulation'!$E$13&amp;"lb")</f>
      </c>
      <c r="C16" s="106">
        <f>IF(OR(Calendar!$Y$5="Don't Change",Calendar!$Y$5="No Data"),"",Calendar!$Y$5)</f>
      </c>
      <c r="D16" s="104">
        <f t="shared" si="0"/>
      </c>
      <c r="E16" s="106">
        <f t="shared" si="1"/>
      </c>
      <c r="F16" s="104">
        <f t="shared" si="2"/>
      </c>
    </row>
    <row r="17" spans="1:6" s="101" customFormat="1" ht="15">
      <c r="A17" s="105">
        <f>IF($C$16="","","PIC Seasonal Formulation - "&amp;Calendar!$W$5&amp;" Finish")</f>
      </c>
      <c r="B17" s="107">
        <f>IF(A17="","","PIC Seasonal Formulation Calculator"&amp;CHAR(10)&amp;"Stop "&amp;Calendar!$W$5&amp;CHAR(10)&amp;'Seasonal Formulation'!$P$7&amp;": "&amp;'Seasonal Formulation'!$Q$7&amp;CHAR(10)&amp;'Seasonal Formulation'!$P$8&amp;": "&amp;'Seasonal Formulation'!$Q$8&amp;CHAR(10)&amp;"Initial Weight: "&amp;'Seasonal Formulation'!$D$13&amp;"lb"&amp;CHAR(10)&amp;"Final Weight: "&amp;'Seasonal Formulation'!$E$13&amp;"lb")</f>
      </c>
      <c r="C17" s="106">
        <f>IF(OR(Calendar!$Z$5="Don't Change",Calendar!$Z$5="No Data"),"",Calendar!$Z$5)</f>
      </c>
      <c r="D17" s="104">
        <f t="shared" si="0"/>
      </c>
      <c r="E17" s="106">
        <f t="shared" si="1"/>
      </c>
      <c r="F17" s="104">
        <f t="shared" si="2"/>
      </c>
    </row>
    <row r="18" spans="1:6" s="101" customFormat="1" ht="15">
      <c r="A18" s="105">
        <f>IF($C$18="","","PIC Seasonal Formulation - "&amp;Calendar!$W$4&amp;" Finish")</f>
      </c>
      <c r="B18" s="103">
        <f>IF(A18="","","PIC Seasonal Formulation Calculator"&amp;CHAR(10)&amp;"Start "&amp;Calendar!$W$4&amp;CHAR(10)&amp;'Seasonal Formulation'!$P$7&amp;": "&amp;'Seasonal Formulation'!$Q$7&amp;CHAR(10)&amp;'Seasonal Formulation'!$P$8&amp;": "&amp;'Seasonal Formulation'!$Q$8&amp;CHAR(10)&amp;"Initial Weight: "&amp;'Seasonal Formulation'!$D$12&amp;"lb"&amp;CHAR(10)&amp;"Final Weight: "&amp;'Seasonal Formulation'!$E$12&amp;"lb")</f>
      </c>
      <c r="C18" s="106">
        <f>IF(OR(Calendar!$Y$4="Don't Change",Calendar!$Y$4="No Data"),"",Calendar!$Y$4)</f>
      </c>
      <c r="D18" s="104">
        <f t="shared" si="0"/>
      </c>
      <c r="E18" s="106">
        <f t="shared" si="1"/>
      </c>
      <c r="F18" s="104">
        <f t="shared" si="2"/>
      </c>
    </row>
    <row r="19" spans="1:6" s="101" customFormat="1" ht="15">
      <c r="A19" s="105">
        <f>IF($C$19="","","PIC Seasonal Formulation - "&amp;Calendar!$W$4&amp;" Finish")</f>
      </c>
      <c r="B19" s="103">
        <f>IF(A19="","","PIC Seasonal Formulation Calculator"&amp;CHAR(10)&amp;"Stop "&amp;Calendar!$W$4&amp;CHAR(10)&amp;'Seasonal Formulation'!$P$7&amp;": "&amp;'Seasonal Formulation'!$Q$7&amp;CHAR(10)&amp;'Seasonal Formulation'!$P$8&amp;": "&amp;'Seasonal Formulation'!$Q$8&amp;CHAR(10)&amp;"Initial Weight: "&amp;'Seasonal Formulation'!$D$12&amp;"lb"&amp;CHAR(10)&amp;"Final Weight: "&amp;'Seasonal Formulation'!$E$12&amp;"lb")</f>
      </c>
      <c r="C19" s="106">
        <f>IF(OR(Calendar!$Z$4="Don't Change",Calendar!$Z$4="No Data"),"",Calendar!$Z$4)</f>
      </c>
      <c r="D19" s="104">
        <f t="shared" si="0"/>
      </c>
      <c r="E19" s="106">
        <f t="shared" si="1"/>
      </c>
      <c r="F19" s="104">
        <f t="shared" si="2"/>
      </c>
    </row>
  </sheetData>
  <sheetProtection/>
  <autoFilter ref="A1:F19">
    <sortState ref="A2:F19">
      <sortCondition descending="1" sortBy="value" ref="A2:A19"/>
    </sortState>
  </autoFilter>
  <printOptions/>
  <pageMargins left="0.7" right="0.7" top="0.75" bottom="0.75" header="0.3" footer="0.3"/>
  <pageSetup horizontalDpi="600" verticalDpi="6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showGridLines="0" zoomScalePageLayoutView="0" workbookViewId="0" topLeftCell="A1">
      <selection activeCell="D6" sqref="D6"/>
    </sheetView>
  </sheetViews>
  <sheetFormatPr defaultColWidth="11.421875" defaultRowHeight="15"/>
  <cols>
    <col min="1" max="7" width="11.8515625" style="0" customWidth="1"/>
    <col min="8" max="16384" width="8.8515625" style="0" customWidth="1"/>
  </cols>
  <sheetData>
    <row r="1" ht="34.5" customHeight="1"/>
    <row r="2" ht="19.5" customHeight="1"/>
    <row r="3" ht="21" customHeight="1"/>
    <row r="4" ht="64.5" customHeight="1"/>
    <row r="5" ht="21" customHeight="1"/>
    <row r="6" ht="64.5" customHeight="1"/>
    <row r="7" ht="21" customHeight="1"/>
    <row r="8" ht="64.5" customHeight="1"/>
    <row r="9" ht="21" customHeight="1"/>
    <row r="10" ht="64.5" customHeight="1"/>
    <row r="11" ht="21" customHeight="1"/>
    <row r="12" ht="64.5" customHeight="1"/>
    <row r="13" ht="21" customHeight="1"/>
    <row r="14" ht="64.5" customHeight="1"/>
    <row r="15" ht="21" customHeight="1"/>
    <row r="16" ht="64.5" customHeight="1"/>
    <row r="17" ht="21" customHeight="1"/>
    <row r="18" ht="64.5" customHeight="1"/>
    <row r="19" ht="21" customHeight="1"/>
    <row r="20" ht="64.5" customHeight="1"/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Genus,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uorlando</dc:creator>
  <cp:keywords/>
  <dc:description/>
  <cp:lastModifiedBy>Megan McKeever</cp:lastModifiedBy>
  <cp:lastPrinted>2018-04-16T18:29:01Z</cp:lastPrinted>
  <dcterms:created xsi:type="dcterms:W3CDTF">2018-01-23T23:36:39Z</dcterms:created>
  <dcterms:modified xsi:type="dcterms:W3CDTF">2018-04-16T23:13:17Z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